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ew &amp; Change" sheetId="1" r:id="rId4"/>
    <sheet state="visible" name="HVE Pricelist" sheetId="2" r:id="rId5"/>
    <sheet state="visible" name="EOS Products" sheetId="3" r:id="rId6"/>
  </sheets>
  <externalReferences>
    <externalReference r:id="rId7"/>
  </externalReferences>
  <definedNames>
    <definedName localSheetId="0" name="backboxlookup">INDEX(#REF!,MATCH(#REF!,#REF!,0))</definedName>
    <definedName name="backboxlookup">INDEX(#REF!,MATCH(#REF!,#REF!,0))</definedName>
    <definedName localSheetId="0" name="backboxlookup2">INDEX(#REF!,MATCH(#REF!,#REF!,))</definedName>
    <definedName name="backboxlookup2">INDEX(#REF!,MATCH(#REF!,#REF!,))</definedName>
    <definedName localSheetId="0" name="backlookup">INDEX(#REF!,MATCH(#REF!,#REF!,0))</definedName>
    <definedName name="backlookup">INDEX(#REF!,MATCH(#REF!,#REF!,0))</definedName>
    <definedName localSheetId="0" name="cameralookup">INDEX(#REF!,MATCH(#REF!,#REF!,0))</definedName>
    <definedName name="cameralookup">INDEX(#REF!,MATCH(#REF!,#REF!,0))</definedName>
    <definedName localSheetId="0" name="cameralookup2">INDEX(#REF!,MATCH(#REF!,#REF!,0))</definedName>
    <definedName name="cameralookup2">INDEX(#REF!,MATCH(#REF!,#REF!,0))</definedName>
    <definedName localSheetId="0" name="cameralookup3">INDEX(#REF!,MATCH(#REF!,#REF!,0))</definedName>
    <definedName name="cameralookup3">INDEX(#REF!,MATCH(#REF!,#REF!,0))</definedName>
    <definedName localSheetId="0" name="domecoverlookup1">INDEX(#REF!,MATCH(#REF!,#REF!,0))</definedName>
    <definedName name="domecoverlookup1">INDEX(#REF!,MATCH(#REF!,#REF!,0))</definedName>
    <definedName localSheetId="0" name="domecoverlookup2">INDEX(#REF!,MATCH(#REF!,#REF!,0))</definedName>
    <definedName name="domecoverlookup2">INDEX(#REF!,MATCH(#REF!,#REF!,0))</definedName>
    <definedName localSheetId="0" name="domecoverlookup3">INDEX(#REF!,MATCH(#REF!,#REF!,0))</definedName>
    <definedName name="domecoverlookup3">INDEX(#REF!,MATCH(#REF!,#REF!,0))</definedName>
    <definedName localSheetId="0" name="domecoverlookup4">INDEX(#REF!,MATCH(#REF!,#REF!,0))</definedName>
    <definedName name="domecoverlookup4">INDEX(#REF!,MATCH(#REF!,#REF!,0))</definedName>
    <definedName localSheetId="0" name="domecoverlookup5">INDEX(#REF!,MATCH(#REF!,#REF!,0))</definedName>
    <definedName name="domecoverlookup5">INDEX(#REF!,MATCH(#REF!,#REF!,0))</definedName>
    <definedName localSheetId="0" name="domecoverlookup6">INDEX(#REF!,MATCH(#REF!,#REF!,0))</definedName>
    <definedName name="domecoverlookup6">INDEX(#REF!,MATCH(#REF!,#REF!,0))</definedName>
    <definedName localSheetId="0" name="housinglookup">INDEX(#REF!,MATCH(#REF!,#REF!,0))</definedName>
    <definedName name="housinglookup">INDEX(#REF!,MATCH(#REF!,#REF!,0))</definedName>
    <definedName localSheetId="0" name="imagelookup">INDEX(#REF!,MATCH(#REF!,#REF!,0))</definedName>
    <definedName name="imagelookup">INDEX(#REF!,MATCH(#REF!,#REF!,0))</definedName>
    <definedName localSheetId="0" name="Imagelookup2">INDEX(#REF!,MATCH(#REF!,#REF!,0))</definedName>
    <definedName name="Imagelookup2">INDEX(#REF!,MATCH(#REF!,#REF!,0))</definedName>
    <definedName localSheetId="0" name="imagelookup3">INDEX(#REF!,MATCH(#REF!,#REF!,0))</definedName>
    <definedName name="imagelookup3">INDEX(#REF!,MATCH(#REF!,#REF!,0))</definedName>
    <definedName localSheetId="0" name="inceilinglookup">INDEX(#REF!,MATCH(#REF!,#REF!,0))</definedName>
    <definedName name="inceilinglookup">INDEX(#REF!,MATCH(#REF!,#REF!,0))</definedName>
    <definedName localSheetId="0" name="inceilinglookup2">INDEX(#REF!,MATCH(#REF!,#REF!,0))</definedName>
    <definedName name="inceilinglookup2">INDEX(#REF!,MATCH(#REF!,#REF!,0))</definedName>
    <definedName name="new">INDEX(#REF!,MATCH(#REF!,#REF!,0))</definedName>
    <definedName localSheetId="0" name="polemountlookup">INDEX(#REF!,MATCH(#REF!,#REF!,0))</definedName>
    <definedName name="polemountlookup">INDEX(#REF!,MATCH(#REF!,#REF!,0))</definedName>
    <definedName localSheetId="0" name="skincoverlookup1">INDEX(#REF!,MATCH(#REF!,#REF!,0))</definedName>
    <definedName name="skincoverlookup1">INDEX(#REF!,MATCH(#REF!,#REF!,0))</definedName>
    <definedName localSheetId="0" name="skincoverlookup2">INDEX(#REF!,MATCH(#REF!,#REF!,0))</definedName>
    <definedName name="skincoverlookup2">INDEX(#REF!,MATCH(#REF!,#REF!,0))</definedName>
    <definedName localSheetId="0" name="skincoverlookup3">INDEX(#REF!,MATCH(#REF!,#REF!,0))</definedName>
    <definedName name="skincoverlookup3">INDEX(#REF!,MATCH(#REF!,#REF!,0))</definedName>
    <definedName localSheetId="0" name="skincoverlookup4">INDEX(#REF!,MATCH(#REF!,#REF!,0))</definedName>
    <definedName name="skincoverlookup4">INDEX(#REF!,MATCH(#REF!,#REF!,0))</definedName>
    <definedName localSheetId="0" name="tiltmountlookup">INDEX(#REF!,MATCH(#REF!,#REF!,0))</definedName>
    <definedName name="tiltmountlookup">INDEX(#REF!,MATCH(#REF!,#REF!,0))</definedName>
    <definedName localSheetId="0" name="wallmountlookup">INDEX(#REF!,MATCH(#REF!,#REF!,0))</definedName>
    <definedName name="wallmountlookup">INDEX(#REF!,MATCH(#REF!,#REF!,0))</definedName>
    <definedName localSheetId="0" name="wallmountlookup2">INDEX(#REF!,MATCH(#REF!,#REF!,0))</definedName>
    <definedName name="wallmountlookup2">INDEX(#REF!,MATCH(#REF!,#REF!,0))</definedName>
    <definedName localSheetId="0" name="weathercaplookup">INDEX(#REF!,MATCH(#REF!,#REF!,0))</definedName>
    <definedName name="weathercaplookup">INDEX(#REF!,MATCH(#REF!,#REF!,0))</definedName>
    <definedName hidden="1" localSheetId="1" name="_xlnm._FilterDatabase">'HVE Pricelist'!$B$7:$N$1040</definedName>
    <definedName hidden="1" localSheetId="2" name="_xlnm._FilterDatabase">'EOS Products'!$B$5:$O$829</definedName>
  </definedNames>
  <calcPr/>
  <extLst>
    <ext uri="GoogleSheetsCustomDataVersion2">
      <go:sheetsCustomData xmlns:go="http://customooxmlschemas.google.com/" r:id="rId8" roundtripDataChecksum="K4jL/HhAJd7bzo92rv8WHja6yghry8dUgdYmJobhDWE="/>
    </ext>
  </extLst>
</workbook>
</file>

<file path=xl/sharedStrings.xml><?xml version="1.0" encoding="utf-8"?>
<sst xmlns="http://schemas.openxmlformats.org/spreadsheetml/2006/main" count="14045" uniqueCount="4906">
  <si>
    <t>New &amp; Change in February 2026</t>
  </si>
  <si>
    <t>New Products</t>
  </si>
  <si>
    <t>EUR_pricelist</t>
  </si>
  <si>
    <t>Model code</t>
  </si>
  <si>
    <t>Short description</t>
  </si>
  <si>
    <t>Series</t>
  </si>
  <si>
    <t>Resolution/
Channels</t>
  </si>
  <si>
    <t>Type</t>
  </si>
  <si>
    <t>Notes</t>
  </si>
  <si>
    <t>Full Description</t>
  </si>
  <si>
    <t>Prod. page</t>
  </si>
  <si>
    <t>MSRP, €</t>
  </si>
  <si>
    <t>STEP
Claimable</t>
  </si>
  <si>
    <t>Camera - Network</t>
  </si>
  <si>
    <t>TNS-7000M</t>
  </si>
  <si>
    <t>3MP Mono BCR Camera</t>
  </si>
  <si>
    <t>T Series</t>
  </si>
  <si>
    <t>3MP</t>
  </si>
  <si>
    <t>Bullet</t>
  </si>
  <si>
    <t>NDAA compliant</t>
  </si>
  <si>
    <r>
      <rPr>
        <rFont val="Arial"/>
        <color rgb="FF000000"/>
        <sz val="12.0"/>
      </rPr>
      <t xml:space="preserve">T series network 3MP Mono BCR camera Max 50fps @ 3MP. WiseBCR App support Barcode recognition. Currently 1D/2D Bar Code can be recognized(Code128 / Codabar / Interleaved 2 of 5) , M12 8pin Ethernet connect, IEC 60068-2-6(vibration), IEC 60068-2-27 (shock resistance). Operating temperature -40°C~+55°C, IP67, IK10, 24VDC. </t>
    </r>
    <r>
      <rPr>
        <rFont val="Arial"/>
        <color rgb="FFFF0000"/>
        <sz val="12.0"/>
      </rPr>
      <t>(accessories not included)</t>
    </r>
  </si>
  <si>
    <t>Info</t>
  </si>
  <si>
    <t>YES</t>
  </si>
  <si>
    <t>Accessory</t>
  </si>
  <si>
    <t>SLM-5M06</t>
  </si>
  <si>
    <t>Mono BCR Camera lens</t>
  </si>
  <si>
    <t>Lens</t>
  </si>
  <si>
    <t>6mm lens for Mono BCR Cameras</t>
  </si>
  <si>
    <t>SLM-5M08</t>
  </si>
  <si>
    <t>8mm lens for Mono BCR Cameras</t>
  </si>
  <si>
    <t>SLM-5M12</t>
  </si>
  <si>
    <t>12mm lens for Mono BCR Cameras</t>
  </si>
  <si>
    <t>SLM-5M16</t>
  </si>
  <si>
    <t>16mm lens for Mono BCR Cameras</t>
  </si>
  <si>
    <t>SLM-5M25</t>
  </si>
  <si>
    <t>25mm lens for Mono BCR Cameras</t>
  </si>
  <si>
    <t>SBO-BPM0</t>
  </si>
  <si>
    <t>Mono BCR Camera Pivot Bracket</t>
  </si>
  <si>
    <t>Bracket</t>
  </si>
  <si>
    <t>Pivot Bracket for Mono BCR Cameras</t>
  </si>
  <si>
    <t>SPI-BWW0</t>
  </si>
  <si>
    <t>Mono BCR Camera White LED Module</t>
  </si>
  <si>
    <t>LED Module</t>
  </si>
  <si>
    <t>White LED Module Accessory for 6mm lens</t>
  </si>
  <si>
    <t>SPI-BWM1</t>
  </si>
  <si>
    <t>White LED Module Accessory for 8mm lens</t>
  </si>
  <si>
    <t>SPI-BWM0</t>
  </si>
  <si>
    <t>White LED Module Accessory for 12mm lens</t>
  </si>
  <si>
    <t>SPI-BWN0</t>
  </si>
  <si>
    <t>White LED Module Accessory for 16mm/25mm lens</t>
  </si>
  <si>
    <t>SPI-BRW0</t>
  </si>
  <si>
    <t>Mono BCR Camera Red LED Module</t>
  </si>
  <si>
    <t>Red LED Module Accessory for 6mm lens</t>
  </si>
  <si>
    <t>SPI-BRM1</t>
  </si>
  <si>
    <t>Red LED Module Accessory for 8mm lens</t>
  </si>
  <si>
    <t>SPI-BRM0</t>
  </si>
  <si>
    <t>Red LED Module Accessory for 12mm lens</t>
  </si>
  <si>
    <t>SPI-BRN0</t>
  </si>
  <si>
    <t>Red LED Module Accessory for 16mm/25mm lens</t>
  </si>
  <si>
    <t>SPI-BBW0</t>
  </si>
  <si>
    <t>Mono BCR Camera Blue LED Module</t>
  </si>
  <si>
    <t>Blue LED Module Accessory for 6mm lens</t>
  </si>
  <si>
    <t>SPI-BBM1</t>
  </si>
  <si>
    <t>Blue LED Module Accessory for 8mm lens</t>
  </si>
  <si>
    <t>SPI-BBM0</t>
  </si>
  <si>
    <t>Blue LED Module Accessory for 12mm lens</t>
  </si>
  <si>
    <t>SPI-BBN0</t>
  </si>
  <si>
    <t>Blue LED Module Accessory for 16mm/25mm lens</t>
  </si>
  <si>
    <t>SPF-BCB0</t>
  </si>
  <si>
    <t>Mono BCR Camera Front Cover</t>
  </si>
  <si>
    <t>Front cover</t>
  </si>
  <si>
    <t>Clear Front Cover</t>
  </si>
  <si>
    <t>SPF-BDB0</t>
  </si>
  <si>
    <t>Diffusion Front Cover</t>
  </si>
  <si>
    <t>SPF-BPB0</t>
  </si>
  <si>
    <t>Polarized Front Cover</t>
  </si>
  <si>
    <t>Storage - HDD</t>
  </si>
  <si>
    <t>WUS721010ALE6L4-HW</t>
  </si>
  <si>
    <t>10TB 3.5'' WD ENTERPRISE HDD</t>
  </si>
  <si>
    <t xml:space="preserve">NDAA Compliant </t>
  </si>
  <si>
    <t>10TB 3.5'' WD Ultrastar ENTERPRISE HDD</t>
  </si>
  <si>
    <t>NO</t>
  </si>
  <si>
    <t>Price Change</t>
  </si>
  <si>
    <t>ST2000VX017-HW</t>
  </si>
  <si>
    <t>Seagate SkyHawk HDD 2TB
(ST2000VX017)</t>
  </si>
  <si>
    <t>Seagate SkyHawk 2TB 3.5" Surveillance HDD for use in NVR/DVR, SATA 6Gb/s, max. sustained transfer rate 180MB/s, cache 256MB, average operating/idle power 3.7W/2.5W, MTBF 1m hours, WRL 180TB/year, SkyHawk Health Management and Rescue Data Recovery Services included (ST2000VX017)</t>
  </si>
  <si>
    <t>ST4000VX016-HW</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</si>
  <si>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</si>
  <si>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(ST4000VX016)</t>
  </si>
  <si>
    <t>ST6000VX009-HW</t>
  </si>
  <si>
    <t>Seagate SkyHawk HDD 6TB
(ST6000VX009)</t>
  </si>
  <si>
    <t>Seagate SkyHawk 6TB 3.5" Surveillance HDD drive for use in NVR/DVR, SATA 6Gb/s, 1 M hours MTBF, Worlkload rate limit 180TB/year, SkyHawk Health Management (ST6000VX009)</t>
  </si>
  <si>
    <t>ST8000VX010-HW</t>
  </si>
  <si>
    <t>Seagate SkyHawk AI HDD 8TB
(ST8000VX010)</t>
  </si>
  <si>
    <t>Seagate SkyHawk AI 8TB 3.5" HDD for use in NVR/DVR, SATA 6Gb/s, max. sustained transfer rate 245MB/s, cache 256MB, average operating/idle power 10.1W/7.8W, MTBF 2 m hours, WRL 550 TB/year, SkyHawk Health Management and Rescue Data Recovery Services included (ST8000VX010)</t>
  </si>
  <si>
    <t>ST10000VE001-HW</t>
  </si>
  <si>
    <t>Seagate SkyHawk AI HDD 10TB
(ST10000VE001)</t>
  </si>
  <si>
    <t>Seagate SkyHawk AI 10TB 3.5" HDD for use in NVR/DVR, SATA 6Gb/s, max. sustained transfer rate 245MB/s, cache 256MB, average operating/idle power 10.1W/7.8W, MTBF 2 m hours, WRL 550 TB/year, SkyHawk Health Management and Rescue Data Recovery Services (ST10000VE001)</t>
  </si>
  <si>
    <t>WD22PURU-64C5JY0-HW</t>
  </si>
  <si>
    <t>WD Purple HDD 2TB
(WD22PURU-64C5JY0)</t>
  </si>
  <si>
    <t>2TB 3.5'' WD Purple HDD (WD22PURU-64C5JY0)</t>
  </si>
  <si>
    <t>WD42PURU-64C4CY0-HW</t>
  </si>
  <si>
    <t>WD Purple HDD 4TB
(WD42PURU-64C4CY0)</t>
  </si>
  <si>
    <t>4TB 3.5'' WD Purple HDD (WD42PURU-64C4CY0)</t>
  </si>
  <si>
    <t>WD63PURU-64C4FY0-HW</t>
  </si>
  <si>
    <t>WD Purple HDD 6TB
(WD63PURU-64C4FY0)</t>
  </si>
  <si>
    <t>6TB 3.5'' WD Purple HDD (WD63PURU-64C4FY0)</t>
  </si>
  <si>
    <t>WD102PURA-64CHRY0-HW</t>
  </si>
  <si>
    <t>WD Purple Pro HDD 10TB
(WD102PURA-64CHRY0)</t>
  </si>
  <si>
    <t>10TB 3.5'' WD Purple Pro HDD (WD102PURA-64CHRY0)</t>
  </si>
  <si>
    <t>VAD</t>
  </si>
  <si>
    <t>EUR</t>
  </si>
  <si>
    <t>GBP</t>
  </si>
  <si>
    <t>STD</t>
  </si>
  <si>
    <t>Opis PL</t>
  </si>
  <si>
    <t>Yes/No</t>
  </si>
  <si>
    <t>Hanwha Product</t>
  </si>
  <si>
    <t>4K Cameras &amp; up</t>
  </si>
  <si>
    <t xml:space="preserve">Camera - Network </t>
  </si>
  <si>
    <t>PNM-C34404RQPZ</t>
  </si>
  <si>
    <t>4K 4CH PTRZ + 2MP 40x PTZ AI Multi-directional camera</t>
  </si>
  <si>
    <t>P Series</t>
  </si>
  <si>
    <t>34MP</t>
  </si>
  <si>
    <t>Multi-Sensor</t>
  </si>
  <si>
    <t>P series network AI based multi-directional 5 channel sensor outdoor vandal camera with 3 Point twist connection for quick and easy mount, Channel 1-4: 4 x 4K@15fps (H.265, H.264) AI ON, 20fps with AI OFF, IR 20m (65ft), Integrated 3.3~5.7mm(1.7x) motorized varifocal lenses, Channel 5: 2MP @ 60FPS PTZ with 40x zoom, WiseIR 200m (656ft), PTZ Auto Tracking, SmartZoom to Preset / IVA Trigger (NOTE:AI object classif and IVA firmware upgrade comming soon). Channel 1-4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HPoE(IEEE802.3bt type 4, Class 8) HPoE: Max 64.00W, typical 45.00W Includes HPoE Injector, TPM 2.0 (FIPS 140-2), IP66, NEMA4X, IK10. Compatible with SPM-4210 I/O IP box to connect alarms/audio devices and support camera's audio detection and sound classification analytics. Includes: Hanging mount adapter</t>
  </si>
  <si>
    <t>PNM-C32083RVQ</t>
  </si>
  <si>
    <t>32MP 4K x 4 Channel, AI, IR Multi-directional outdoor camera</t>
  </si>
  <si>
    <t>32MP</t>
  </si>
  <si>
    <t>P series network AI based multi-directional 4 channel sensor outdoor vandal camera, 4 x 4K@15fps (H.265, H.264) AI ON, 20fps with AI OFF, PoE+: WiseIR 15m(49.21ft), HPoE: WiseIR 20m(65.62ft), integrated 3.3~5.7mm(1.7x) motorized varifocal lenses, WiseStream III,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PoE+, TPM 2.0 (FIPS 140-2), IP66, NEMA4X, IK10, 2 configurable alarm I/O, Audio In/Out connectivity requires purchase of cable SPP-C7400, also compatible with SPM-4210 (sold separately) I/O IP box to connect alarms/audio devices and support camera's audio detection and sound classification analytics. PoE+ Injector can be purchased separately, part number SPO-6011</t>
  </si>
  <si>
    <t>TNB-9000</t>
  </si>
  <si>
    <t>8K AI Box</t>
  </si>
  <si>
    <t>Box</t>
  </si>
  <si>
    <t>T series network 8K Box camera, 43.3 full frame CMOS sensor, 32MP @15fps, Autofocus, EF lens mount, triple codec H.265/H.264/MJPEG with WiseStream II, Multiple streaming, BLC/DWDR, Auto Day &amp; Night (ICR), new Deep Learning based Video Analytics (object classification), Motion detection, Directional detection, Defocus detection, Enter/Exit, Loitering, Virtual line, Tampering, Appear/Disappear, Audio detection, Sound classification, Bi-directional audio and micro SD/SDHC/SDXC slot, HPoE/12VDC     ※ The lens is not included</t>
  </si>
  <si>
    <t>TNO-A26081</t>
  </si>
  <si>
    <t>26MP Ultra High Resolution AI Bullet Camera</t>
  </si>
  <si>
    <t>26MP</t>
  </si>
  <si>
    <t>T series network 26MP AI Bullet Camera, 1.8’’ APS CMOS image sensor, Max. 30fp, 0.2/0.02Lux D/N 55~250mm manual vf lens, Supported Video Analytics based on AI: Traffic Pack, Factory Pack (no license key required), 2-way audio, 2x micro SD card, Operating temperature: -40°C~+50°C, HPoE (802.3bt type3, class6)/12VDC, 100/1000 SFP slot, IP66/IP67, IK10, NEMA4X (No PoE injector included)</t>
  </si>
  <si>
    <t>PNM-C32083RQZ</t>
  </si>
  <si>
    <t>32MP 4Kx 4, AI, IR, PTRZ, Multi-directional outdoor camera</t>
  </si>
  <si>
    <t>P series network vandal outdoor Multi-Directional camera [AI ON] 4CH x 8MP @ 15FPS / [AI OFF] 4CH x 8MP @ 20FPS, Motorized Varifocal Lens with PTRZ function 4.38~9.33mm (FoV H: 112.1°~47.5°, V: 58°~26.6°), triple codec H.265/H.264/MJPEG, 120dB WDR; IR viewable length [PoE++ 25m(82ft), PoE+ 15m(49ft)], Analytics events based on AI engine: Classified object type: Person/Face/Vehicle/License plate; Attributes: Vehicle(Type and color: car/bus/truck/motorcycle/bicycle), Person (upper and bottom clothing color), IVA (Virtual line/Area, Enter/Exit, Loitering, direction, intrusion), Appear/Disappear, WiseNR Ⅱ(using AI engine), WiseStreamⅢ(Based on AI engine), I/O Box compatibility; TPM with FIPS 140-2 level2, micro SD card 512GB x2, IP66, IK10, NEMA4X, Operating Temperature: -40°C~+55°C(-40°F~+131°F), PoE++/PoE+, Hard-coated dome bubble</t>
  </si>
  <si>
    <t>PNM-C20000QB</t>
  </si>
  <si>
    <t>AI Remote head 2MP/5MP x 4CH camera</t>
  </si>
  <si>
    <t>20MP/8MP</t>
  </si>
  <si>
    <t>P series network remote head camera 4CH x 2MP @ 30FPS or 4CH x 5MP @ 15FPS, Triple codec H.265/H.264/MJPEG, 120dB WDR, Analytics events based on AI engine: Classified object type: Person/Face/Vehicle/License plate, Attributes: Vehicle(Type and color: car/bus/truck/motorcycle/bicycle), Person (upper and bottom clothing color), IVA (Virtual line/Area, Enter/Exit, Loitering, Intrusion), Appear/Disappear, Business intelligence based on AI engine: People counting, Vehicle counting, Queue management, Heatmap, WiseNR Ⅱ(Based on AI engine), WiseStreamⅢ(Based on AI engine), USB-C for easy installation, 4 x Selectable I/O, 4 x Audio inputs, 1 Audio Out, TPM with FIPS 140-3 level3, Built-in microSD card slots (Up to 512GB x2), 12VDC/PoE+,  Compatible with SLA-T4680A/T4680VA, SLA-T2480A/T2480VA, SLA-T1080FA [Future compatibility with 5MP lenses]</t>
  </si>
  <si>
    <t>PNM-C19183RVTP</t>
  </si>
  <si>
    <t>AI IR MDC with 3CH 5MP + PTZ 4MP</t>
  </si>
  <si>
    <t>19MP</t>
  </si>
  <si>
    <t>P series network vandal outdoor Multi-Directional camera, 3CH x 5MP @ 30FPS and 4MP PTZ 18x Zoom, 3CH Fix Lens 2.4mm (FoV H: 123°, V: 91°), 120dB WDR; IR viewable length 15m(49ft), Analytics events based on AI engine: Classified object type: Person/Face/Vehicle/License plate; Attributes: Vehicle(type and color: car/bus/truck/motorcycle/bicycle), Person (upper and bottom clothing color), IVA (Virtual line/Area, Enter/Exit, Loitering, Direction, Intrusion), Appear/Disappear; Business Intelligence Based on AI engine: People counting, Vehicle counting, Queue management, Heatmap; WiseNR Ⅱ(using AI engine), WiseStreamⅢ (Based on AI engine), I/O Box compatibility; Secure element (FIPS 140-3 level3), micro SD card 512GB x2, IP66, IK10, NEMA4X, Operating Temperature: -40°C~+55°C(-40°F~+131°F), PoE++ (injector included), Hard-coated dome bubble.</t>
  </si>
  <si>
    <t>PNM-C16083RVQ</t>
  </si>
  <si>
    <t>16MP 4MP x 4 Channel, AI, IR Multi-directional outdoor camera</t>
  </si>
  <si>
    <t>16MP</t>
  </si>
  <si>
    <t>P series network AI based multi-directional 4 channel sensor outdoor vandal camera, 4 x 4MP@30fps, WiseIR 15m IR, integrated 3.3~5.7mm(1.7x) motorized varifocal lenses, WiseStream III,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2slot Max. 1TB(512GBx2), PoE+, TPM 2.0 (FIPS 140-2), IP66, NEMA4X, IK10. 2 configurable alarm I/O, Audio In/Out connectivity requires purchase of cable SPP-C7400, also compatible with SPM-4210 (sold separately) I/O IP box to connect alarms/audio devices and support camera's audio detection and sound classification analytics. PoE+ Injector can be purchased separately, part number SPO-6011</t>
  </si>
  <si>
    <t>PNM-C16013RVQ</t>
  </si>
  <si>
    <t>16MP 4MP x 4, AI, IR mini multi-directional camera</t>
  </si>
  <si>
    <r>
      <rPr>
        <rFont val="Arial"/>
        <color rgb="FF000000"/>
        <sz val="12.0"/>
      </rPr>
      <t>P series network vandal outdoor mini Multi-Directional camera 4CH x 4MP @ 15FPS, Fix Lens 3.19mm (FoV H: 97°, V: 54°), triple codec H.265/H.264/MJPEG, 120dB WDR; IR viewable length 20m (65.6ft), USB port for easy installation, Analytics events based on AI engine: Object detection (Person/Vehicle (car/truck/bus/bicycle/bike)), IVA (Virtual line/Area, Enter/Exit, Loitering, direction, intrusion), Appear/Disappear, WiseNR Ⅱ(using AI engine), WiseStreamⅢ(Based on AI engine), I/O Box compatibility; TPM with FIPS 140-2 level2, IP66, IK10, NEMA4X, PoE+, Ø: 200mm, H: 80mm, (</t>
    </r>
    <r>
      <rPr>
        <rFont val="Arial"/>
        <color rgb="FFFF0000"/>
        <sz val="12.0"/>
      </rPr>
      <t>HPoE Injector is not included</t>
    </r>
    <r>
      <rPr>
        <rFont val="Arial"/>
        <color theme="1"/>
        <sz val="12.0"/>
      </rPr>
      <t>)</t>
    </r>
  </si>
  <si>
    <t>PNM-C16083RQZ</t>
  </si>
  <si>
    <t>16MP 4MP x 4, AI, IR PTRZ, Multi-directional outdoor camera</t>
  </si>
  <si>
    <t>P series network vandal outdoor Multi-Directional camera 4CH x 4MP @ 30FPS, Motorized PTRZ support, Motorized varifocal Lens 3.3~10.2mm (FoV H: 93°~29.8°, V: 53°~17.5°), triple codec H.265/H.264/MJPEG, 120dB WDR; IR viewable length [PoE+] 15m (49ft) / [PoE++] 20m (65ft),  Analytics events based on AI engine: Object detection [Person/Vehicle with color attributes (Car/Bus/Truck/Motorcycle/Bicycle)], IVA (Virtual line/Area, Enter/Exit, Loitering, direction, intrusion), Appear/Disappear, WiseNR Ⅱ(using AI engine), WiseStreamⅢ(Based on AI engine), I/O Box compatibility; TPM with FIPS 140-2 level2, micro SD card 512GB x2, IP66, IK10, NEMA4X, Operating Temperature: -40°C~+55°C(-40°F~+131°F); PoE+ /PoE++, Hard-coated dome bubble</t>
  </si>
  <si>
    <t>PNM-C12083RVD</t>
  </si>
  <si>
    <t>12MP 6MP x 2CH AI Multi-directional</t>
  </si>
  <si>
    <t>12MP</t>
  </si>
  <si>
    <t>P series network AI based multi-directional dual sensor outdoor vandal dome camera, 2 x 6MP@15fps, 360 degree 25m IR, 3.54~6.69mm motorised varifocal lenses, WiseNR II, Auto prefer shutter control, WiseStream III, ExtremeWDR (120dB),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SD Card slot 512GB max, PoE+, Secure by Default, TPM 2.0 (FIPS 140-2), IP66, NEMA4X, IK10. Compatible with SPM-4210 I/O IP box to connect alarms/audio devices and support camera's audio detection and sound classification analytics</t>
  </si>
  <si>
    <t>PNM-C9022RV</t>
  </si>
  <si>
    <t>8MP AI IR Panoramic Outdoor Vandal Dome</t>
  </si>
  <si>
    <t>8MP</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</si>
  <si>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</si>
  <si>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XNF-9013RV</t>
  </si>
  <si>
    <t>12MP AI IR Fisheye Camera</t>
  </si>
  <si>
    <t>X Series</t>
  </si>
  <si>
    <t>Fisheye</t>
  </si>
  <si>
    <t>NDAA Compliant</t>
  </si>
  <si>
    <t>X series powered by Wisenet 7 network 12M AI IR fisheye camera, 12MP @30fps, 1.08mm fixed lens, simple focus, triple codec H.265/H.264/MJPEG with WiseStream III ( Based on AI engine, Multiple streaming, extreme WDR(120dB), True Day &amp; Night (ICR), IR viewable length 8m with PoE 12m with PoE+, Wise IR, Next level Cybersecurity, Licence-free onboard Intelligent Video Analytics, People counting, Heatmap, Queue management, Handover,  VariableView Mode, On Board Video Analytics, People counting, Heatmap, Queue management, Handover,  VariableView Mode, On Board Dewarping, Digital PTZ, Bi-directional audio, 2x microSD/SDHC/SDXC slots up to 1TB, IP66, IK10, NEMA 4X, PoE/12VDC</t>
  </si>
  <si>
    <t>QNF-C9010</t>
  </si>
  <si>
    <t>12MP Indoor AI Fisheye</t>
  </si>
  <si>
    <t>Q Series</t>
  </si>
  <si>
    <t>Q Series Network Indoor Fisheye Dome Camera, 12MP sensor, Max resolution 3008x3008 @ 20fps, 1.76mm fixed lens, H185°/V185°, H.265/H.264/MJPEG codec, WiseStreamIII (Based on AI engine), WiseNR Ⅱ (Based on AI engine), extremeWDR (120dB), Digital rotation, AI based motion detection, Classified object type: Person/Vehicle, Object attributes (Person: Top/Bottom Clothing Color, Vehicle: Color), IVA events based on AI engine: Virtual line (Crossing/Direction), Virtual area (Loitering/Intrusion/Enter/Exit/(Dis)Appear), BestShot, Analytics events (Defocus, Tampering), AI-based business intelligence (Heatmap, Queue management, People counting), Built-in microSD Card slot (Up to 256GB), IP42, Operating temp: -10°C~+40°C (+14°F~+104°F), Power: PoE, RJ45.</t>
  </si>
  <si>
    <t>QNF-C9010V</t>
  </si>
  <si>
    <t>12MP Outdoor AI Fisheye</t>
  </si>
  <si>
    <t>Q Series Network Outdoor Fisheye Dome Camera, 12MP sensor,  Max resolution 3008x3008 @ 20fps, 1.76mm fixed lens, H185°/V185°, H.265/H.264/MJPEG codec, WiseStreamIII (Based on AI engine), WiseNR Ⅱ (Based on AI engine), extremeWDR (120dB), Digital rotation, AI based motion detection, Classified object type: Person/Vehicle, Object attributes (Person: Top/Bottom Clothing Color, Vehicle: Color), IVA events based on AI engine: Virtual line (Crossing/Direction), Virtual area (Loitering/Intrusion/Enter/Exit/(Dis)Appear), BestShot, Analytics events (Defocus, Tampering), AI-based business intelligence (Heatmap, Queue management, People counting), Built-in microSD Card slot (Up to 256GB), IP66, IK10, NEMA 4X, Operating temp: -40°C~+55°C (-40°F~+131°F), Power: PoE, RJ45.</t>
  </si>
  <si>
    <t>XNO-9083R</t>
  </si>
  <si>
    <t>8MP AI IR Bullet</t>
  </si>
  <si>
    <t>X series powered by Wisenet 7 networkAI IR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</si>
  <si>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XNV-9083R</t>
  </si>
  <si>
    <t>8MP AI IR Outdoor Vandal Dome</t>
  </si>
  <si>
    <t>Vandal Dome</t>
  </si>
  <si>
    <t>X series powered by Wisenet 7 network AI IR outdoor vandal dome camera, Modular structure X PLUS, 8MP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</si>
  <si>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XNV-9083RZ</t>
  </si>
  <si>
    <t>8MP AI IR Vandal Dome</t>
  </si>
  <si>
    <t>X series powered by Wisenet 7 network AI IR vandal dome camera, Modular structure X PLUS, 8MP @30fps, 4.4 ~ 9.3mm motorized varifocal lens (2.1x), Colour 0.03 Lux (F1.3, 1/30sec, 30IRE), BW 0 Lux (IR LED on), IR viewable length: 30m(98.43ft) based on scene,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</si>
  <si>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info</t>
  </si>
  <si>
    <t>XND-9083RV</t>
  </si>
  <si>
    <t>8MP AI IR Dome</t>
  </si>
  <si>
    <t>Dome</t>
  </si>
  <si>
    <t>X series powered by Wisenet 7 network AI IR indoor vandal dome camera, Modular structure X PLUS, 8MP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</si>
  <si>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XND-A9084RV</t>
  </si>
  <si>
    <t>8MP AI IR Indoor Dome</t>
  </si>
  <si>
    <t xml:space="preserve">Powered by Wisenet 9, Indoor Network AI IR Dome Camera, 8MP resolution @ 30FPS, 4.4~9.3mm (2.1x), (113°~47°)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  </t>
  </si>
  <si>
    <t>XNO-A9084R</t>
  </si>
  <si>
    <t>Powered by Wisenet 9, Outoor Network AI IR Vandal Bullet Camera, 8MP resolution @ 30FPS, 4.4~9.3mm(2.1x), (113°~47°)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</si>
  <si>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XNV-A9084R</t>
  </si>
  <si>
    <t>Powered by Wisenet 9, Outdoor Network AI IR Vandal Dome Camera, 8MP resolution @ 30FPS, 4.4~9.3mm (2.1x), (113°~47°)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</si>
  <si>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XNB-9003</t>
  </si>
  <si>
    <t>8MP AI Box</t>
  </si>
  <si>
    <r>
      <rPr>
        <rFont val="Arial"/>
        <color theme="1"/>
        <sz val="12.0"/>
      </rPr>
      <t xml:space="preserve">NDAA Compliant
</t>
    </r>
    <r>
      <rPr>
        <rFont val="Arial"/>
        <color rgb="FFFF0000"/>
        <sz val="12.0"/>
      </rPr>
      <t>EOS
Limited stock available</t>
    </r>
  </si>
  <si>
    <t>X series powered by Wisenet 7 network AI box camera, 1/1.8" progressive CMOS, 8MP @30fps, 0.03 Lux@F1.2 (Color), 0.03 Lux@F1.2 (B/W),30IRE simple focus, triple codec H.265/H.264/MJPEG with WiseStream III, Multiple streaming, 120dB WDR, True Day &amp; Night (ICR), Analytics events based on AI engine (NPU) : Object detection (Person/Face/Vehicle – car, truck, bus, bicycle, motorcycle/Licence plate), IVA (Virtual line/Area, Enter/Exit, Loitering, Direction, Intrusion), Analytics events: Defocus detection, Motion detection, Tampering, Fog detection, Audio detection, Sound classification, Shock detection, Appear/Disappear,Digital Image Stabilization with built-in Gyro sensor, Bi-directional audio and dual SD/SDHC/SDXC slot, USB port for easy installation, PoE/12VDC     ※ The lens is not included</t>
  </si>
  <si>
    <t>XNO-C9083R</t>
  </si>
  <si>
    <t>X series powered by Wisenet 7 network AI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</si>
  <si>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XNV-C9083R</t>
  </si>
  <si>
    <t>X series powered by Wisenet 7 network AI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</si>
  <si>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XND-C9083RV</t>
  </si>
  <si>
    <t>X series powered by Wisenet 7 network AI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</si>
  <si>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TNP-A9430RW</t>
  </si>
  <si>
    <t>8MP AI IR, Rugged PTZ</t>
  </si>
  <si>
    <t>PTZ</t>
  </si>
  <si>
    <t>Powered by Wisenet 9, AI Rugged PTZ Positoning Camera, 4K @ 30FPS resolution, 6.1mm~262.4mm(43x) autofocus lens, adaptive Wise IR (450m),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</si>
  <si>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XNP-C9310R</t>
  </si>
  <si>
    <t>8MP 31x AI Focus IR PTZ</t>
  </si>
  <si>
    <t>X series Powered by Wisenet 7 and AI, 8MP (4K UHD) @ 30FPS resolution, 6.91mm~214.64mm (31x) lens with Wise AF intelligent autofocus, adaptive Wise IR (250m),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IP66, IP67, IK10, NEMA4X, NEMA-TS 2(2.2.8, 2.2.9),  FIPS 140-2, HPoE injector included, Operating Temperature -50°C~+55°C (-58°F ~ +131°F), (Compatible with I/O Box SPM-4210)</t>
  </si>
  <si>
    <t>XNP-C9303RW</t>
  </si>
  <si>
    <t>8MP 30x IR AI PTZ with built-in wiper</t>
  </si>
  <si>
    <t>X series powered by Wisenet 7 AI network outdoor IR PTZ camera, 8MP @30fps, 30x Optical Zoom Lens (5 ~ 150mm) (57.42º ~ 2.19º), 360° Endless Pan range, 500°/sec Pan speed, Tilt: -20° ~ 90°, triple codec H.265/H.264/MJPEG with WiseStream II, Multiple streaming, extreme WDR (120dB), True Day &amp; Night (ICR), IR viewable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Built-in wiper
* Alarm outputs, Audio detection, Sound classification(with NW I/O Box which can be purchased separately)</t>
  </si>
  <si>
    <t>XNP-C9253R</t>
  </si>
  <si>
    <t xml:space="preserve">8MP 25x IR AI PTZ </t>
  </si>
  <si>
    <t>X series powered by Wisenet 7 network outdoor AI IR PTZ camera, 8MP @30fps, 25x Optical Zoom Lens (5 ~ 125mm) (57.42º ~ 2.71º), 360° Endless Pan range, 700°/sec Pan speed, Tilt: -20° ~ 90°, triple codec H.265/H.264/MJPEG with WiseStream II, Multiple streaming, extreme WDR (120dB), True Day &amp; Night (ICR), IR viewable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</si>
  <si>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XNP-C9253</t>
  </si>
  <si>
    <t xml:space="preserve">8MP 25x AI PTZ </t>
  </si>
  <si>
    <t>X series powered by Wisenet 7 network outdoor AI PTZ camera, 8MP @30fps, 25x Optical Zoom Lens (5 ~ 125mm) (57.42º ~ 2.71º), 360° Endless Pan range, 700°/sec Pan speed, Tilt: -20° ~ 90°, triple codec H.265/H.264/MJPEG with WiseStream II, Multiple streaming, extreme WDR (120dB), True Day &amp; Night (ICR),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</si>
  <si>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PNB-A9082</t>
  </si>
  <si>
    <t xml:space="preserve">P sesries powered by Wisenet 9, Network AI Box Camera; 8MP Max Resolution 3840x2160 @ 30FPS; 0.03Lux@F1.5 (Color); 5.9~13.3mm(2.25x); FoV H:109°~49°;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</si>
  <si>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PNB-A9092</t>
  </si>
  <si>
    <t xml:space="preserve">P series powered by Wisenet 9, Network AI Box Camera; 8MP Max Resolution 3840x2160 @ 30FPS; 0.03Lux@F1.67 (Color); 15~50mm(3.33x); FoV H:42.7°~12.6°; Motorized Varifocal Lens, H.265/H.264/MJPEG Codec; USB Port for Easy Installation; Selectable microphone input (mic in/line in/built-in),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Operating Temp: -10°C~+55°C (14°F~+131°F); Secure element with FIPS 140-3 level3; Built-In MicroSD Card Slot (1TBx2); Power: PoE+/12VDC; Metal shielded RJ-45. </t>
  </si>
  <si>
    <t>PNO-A9082R</t>
  </si>
  <si>
    <t xml:space="preserve">P series powered by Wisenet 9, Network AI IR Outdoor Vandal Bullet Camera; 8MP Max Resolution 3840x2160 @ 30FPS; 0.03Lux@F1.5 (Color), 0Lux (B/W IR LED On); 5.9~13.3mm(2.25x); FoV H:109°~49°;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</si>
  <si>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PNO-A9092R</t>
  </si>
  <si>
    <t xml:space="preserve">P series powered by Wisenet 9, Network AI IR Outdoor Vandal Bullet Camera; 8MP Max Resolution 3840x2160 @ 30FPS; 0.03Lux@F1.67 (Color), 0Lux (B/W IR LED On); 15~50mm(3.33x); FoV H:42.7°~12.6°; Motorized Varifocal Lens; Hard-Coated Window; H.265/H.264/MJPEG Codec; IR Viewable Length 120m (393.7ft);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 </t>
  </si>
  <si>
    <t>PNV-A9082RZ</t>
  </si>
  <si>
    <t xml:space="preserve">P series powered by Wisenet 9, Network AI IR Outdoor Vandal Dome Camera; 8MP Max Resolution 3840x2160 @ 30FPS; 0.03Lux@F1.5 (Color), 0Lux (B/W IR LED On); 5.9~13.3mm(2.25x); FoV H:109°~49°; Motorized Varifocal Lens, Remote lens adjustment (PTRZ); Hard-coated dome bubble; H.265/H.264/MJPEG Codec; IR Viewable Length 50m (164.04ft);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 Metal shielded RJ-45. </t>
  </si>
  <si>
    <t>PND-A9082RV</t>
  </si>
  <si>
    <t>8MP AI IR Indoor Vandal Dome</t>
  </si>
  <si>
    <t xml:space="preserve">P series powered by Wisenet 9, Network AI IR Indoor Dome Camera; 8MP Max Resolution 3840x2160 @ 30FPS; 0.03Lux@F1.5 (Color), 0Lux (B/W IR LED On); 5.9~13.3mm(2.25x); FoV H:109°~49°;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 </t>
  </si>
  <si>
    <t>PNO-A9311R</t>
  </si>
  <si>
    <t>8MP AI IR 31x Zoom Bullet</t>
  </si>
  <si>
    <t>P series Network AI IR 31x Zoom Bullet Camera, Max 8M resolution @ 30FPS, 0.075Lux@F1.36 (Color), 0Lux (B/W, IR LED on), Day &amp; Night(ICR), 6.91~214.7mm(31x) zoom lens, WiseIR 70m (229.66ft), WDR(120dB) H.265, H.264, MJPEG codec, WiseStreamⅡ, WiseStreamⅢ (Using AI engine), Video Analytics based on AI [ Object detection and classification (Person, Face, Vehicle, License Plate), Face mask detection, Social distancing detection, Slip&amp;Fall detection, Attribute, BestShot] People counting, Heatmap, Queue management based on AI, Face Mask Detection, Social Distancing Detection, Compatible with Wisenet Retail Insight v2.0 for Business Intelligence, Age/gender based People counting, Heatmap, Queue management, Modular structure for easy installation, 2x micro SD card (512GB x2), Operating temperature: -40°C~+55°C(-40°F ~ +131°F), Power: PoE+/12VDC, Metal shielded RJ-45, IP66/IP67/IP6K9K, IK10, NEMA4X</t>
  </si>
  <si>
    <t>PNO-A9081R</t>
  </si>
  <si>
    <t>P series network 8MP AI IR outdoor vandal bullet camera, 8MP @30fps, 4.5~10mm motorized varifocal lens (2.2x), triple codec H.265/H.264/MJPEG with WiseStream II, Multiple streaming, 120dB WDR, True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IK10+, NEMA4X, PoE+/12VDC</t>
  </si>
  <si>
    <t>PNV-A9081R</t>
  </si>
  <si>
    <t>P series network 8MP AI IR outdoor vandal dome camera, Modular structurre X PLUS, 8MP @30fps, 4.5~10mm motorized varifocal lens (2.2x), triple codec H.265/H.264/MJPEG with WiseStream 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IP6K9K, IK10+, NEMA4X, PoE+/12VDC</t>
  </si>
  <si>
    <t>PND-A9081RV</t>
  </si>
  <si>
    <t>4K AI IR Indoor vandal dome</t>
  </si>
  <si>
    <t>P series network 8MP AI IR indoor dome camera, Modular structurre X PLUS, 8MP @30fps, 4.5~10mm motorized varifocal lens (2.2x), triple codec H.265/H.264/MJPEG with WiseStream II, WiseStream III,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PoE+/12VDC</t>
  </si>
  <si>
    <t>PND-A9081RF</t>
  </si>
  <si>
    <t>8MP AI IR Flush Mount Indoor Dome</t>
  </si>
  <si>
    <t>P series network 8MP AI IR indoor flush mount dome camera, Modular structurre X PLUS, 8MP @30fps, 4.5~10mm motorized varifocal lens (2.2x), triple codec H.265/H.264/MJPEG with WiseStream II, WiseStream III,  Multiple streaming, 120dB WDR, Auto Day &amp; Night (ICR), IR viewable length 30m, Classified object type : Person/Face/Vehicle/License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Plenum rate, PoE+/12VDC</t>
  </si>
  <si>
    <t>QNE-C9013RL</t>
  </si>
  <si>
    <t>8MP Dual Light AI Outdoor FlatEye</t>
  </si>
  <si>
    <t>Flateye</t>
  </si>
  <si>
    <t>Q series network AI outdoor flat-eye camera, 8MP @ 30fps, 3mm fixed focal lens (H: 108°/ V: 59°),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SD card, video analytics, IP66/IP67, IK10, PoE, Operating temperature -40°C~+60°C(-40°F ~ +140°F) white color</t>
  </si>
  <si>
    <t>QNO-C9083R</t>
  </si>
  <si>
    <t>Q series AI network IR outdoor bullet camera, 8MP @30fps, 3.2 ~ 10.2mm motorized varifocal lens (3.2x), triple codec H.265/H.264/MJPEG with WiseStream II, Multiple streaming, 120dB WDR, Auto Day &amp; Night (ICR), IR viewable length 30m, Object detection (Person/Vehicle), Vehicle Type AI attribures, Analytics events based on AI engine (motion detection, object detection, virtual line, virtual area), WiseMD (AI Motion detection), LDC (Lens Distortion Correction), Hard coated dome bubble, Gore valve, SD/SDHC/SDXC slot, IP66, IK10, PoE</t>
  </si>
  <si>
    <t>QNV-C9083R</t>
  </si>
  <si>
    <t>Q series AI network IR outdoor vandal dome camera, 8MP @30fps, 3.2 ~ 10.2mm motorized varifocal lens (3.2x), triple codec H.265/H.264/MJPEG with WiseStream II, Multiple streaming, 120dB WDR, Auto Day &amp; Night (ICR), IR viewable length 30m, Object detection (Person/Vehicle), Vehicle Type AI attribures, Analytics events based on AI engine (motion detection, object detection, virtual line, virtual area), WiseMD (AI Motion detection), LDC (Lens Distortion Correction), Hard coated dome bubble, Gore valve, SD/SDHC/SDXC slot, IP66, IK10, PoE</t>
  </si>
  <si>
    <t>QNV-C9011R</t>
  </si>
  <si>
    <t>8MP AI IRMicro Vandal Dome</t>
  </si>
  <si>
    <t>Q series AI network IR Micro vandal dome camera, 8MP @30fps, 3.0mm fixed lens, triple codec H.265/H.264/MJPEG, Multiple streaming up to 5 profiles, 120dB WDR, Day &amp; Night (ICR), High Powered IR LEDs with IR viewable length 20m, Analytics events based on AI engine: Object detection (Person/Vehicle – car, truck, bus, bicycle, motorcycle),IVA (Virtual line/Area, Enter/Exit, Loitering, Direction, Intrusion),Analytics events : Defocus detection, Tampering, single microSD/SDHC/SDXC slot, ONVIF S/G/T/M, USB port for easy installation, IP66, IK10, NEMA4X, PoE, white</t>
  </si>
  <si>
    <t>PNO-A9081RLP</t>
  </si>
  <si>
    <t>8MP AI ANPR IR Bullet</t>
  </si>
  <si>
    <t>P series network 8MP AI IR outdoor vandal bullet camera with embedded Wisenet Road AI application for ANPR, MMCR (make, model, colour recognition) and vehicle classification analytics, smart search, black/white list, statistics, barrier control, VMS/JSON integration support, Pre-installed with 32GB Micro SD to support 10,000 ANPR images, 8MP @30fps, 4.5~10mm motorized varifocal P iris lens (2.2x), triple codec H.265/H.264/MJPEG with WiseStream II, Multiple streaming, True Day &amp; Night (ICR), IR viewable length 30m, other analytics events: Shock detection, Motion detection, Tampering detection, Defocus detection, Audio detection, Sound classification, Bi-directional audio, 1 Input/1 Output, PoE+/12VDC,  IP66/IP67, IK10+, NEMA4X</t>
  </si>
  <si>
    <t>PNO-A9311RLP</t>
  </si>
  <si>
    <t>8MP, AI IR Zoom (31x),  Bullet Camera with Wisenet Road AI</t>
  </si>
  <si>
    <t>P series 8MP AI IR 31x Bullet Camera with Wisenet Road AI application and 32GB SD card - high-speed traffic surveillance with coverage of up to two traffic lanes at speeds of up to 100kmh (65mph) 4K resolution @ 30FPS, 0.05Lux@F1.6 (Color), 0Lux (B/W, IR LED on), Day &amp; Night(ICR), 6.91~214.64mm (31x) zoom lens, WDR(120dB) H.265, H.264, MJPEG codec, Operating temperature: -40°C~+55°C(-40°F ~ +131°F), Power: PoE+/12VDC, Metal shielded RJ-45, IP66/IP67, IK10, NEMA4X. Wisenet Road AI application (Pre-installed) includes: Licence Plate Recognition, Make/Model/Colour Recognition, Vehicle class recognition (Unidentified, Car, SUV, VAN, LCV, Truck, Bus, Bike), List notification, Direction detection (high performance mode only), Smart Search (plate, country, brand, model, colour, vehicle type), Vehicle statistics (by day, week, top 5 brands, top 5 models and types)</t>
  </si>
  <si>
    <t>PNV-A9081RLP</t>
  </si>
  <si>
    <t>8MP AI ANPR IR Outdoor Vandal Dome</t>
  </si>
  <si>
    <t>P series network 4K AI IR outdoor vandal dome camera with embedded Wisenet Road AI application for ANPR, MMCR (make, model, colour recognition) and vehicle classification analytics, smart search, black/white list, statistics, barrier control, VMS/JSON integration support, Pre-installed with 32GB Micro SD to support 10,000 ANPR images, Modular structurre X PLUS, 8MP @30fps, 4.5~10mm motorized varifocal P iris lens (2.2x), triple codec H.265/H.264/MJPEG with WiseStream II, Multiple streaming, True Day &amp; Night (ICR), IR viewable length 30m, other analytics events: Shock detection, Motion detection, Tampering detection, Defocus detection, Audio detection, Sound classification, Bi-directional audio, 1 Input/1 Output, PoE+/12VDC, IP66/IP67/IP6K9K, IK10+, NEMA4X</t>
  </si>
  <si>
    <t>PNM-9322VQP</t>
  </si>
  <si>
    <t>5CH 32x Zoom Multi-sensor with integral PTZ</t>
  </si>
  <si>
    <t>4x 2MP / 
5MP + 2MP</t>
  </si>
  <si>
    <r>
      <rPr>
        <rFont val="Arial"/>
        <color theme="1"/>
        <sz val="12.0"/>
      </rPr>
      <t xml:space="preserve">NDAA compliant
</t>
    </r>
    <r>
      <rPr>
        <rFont val="Arial"/>
        <color rgb="FFFF0000"/>
        <sz val="12.0"/>
      </rPr>
      <t>(Stock is due in Jan. '26)</t>
    </r>
  </si>
  <si>
    <t>P series network outdoor Multi-sensor Multi-Directional PTZ camera, 4 sensors x 2MP/5MP and 2MP PTZ module, 10MP ~22MP (2MP @ 60fps or 5MP @30fps),  4  fixed lense modules and 4.44~142.6mm (Optical 32x) lens, triple codec H.265/H.264/MJPEG with WiseStream II, Multiple streaming, 150dB WDR @2MP or 120dB WDR @5MP, Auto Day &amp; Night (ICR), Advanced Video Analytics, Motion detection, Hallway view, Fog detection, HLC, Digital Image Stabilization with built-in Gyro sensor, 5x Micro SD/SDHC/SDXC slot, IP66, IK10, HPoE (Power adaptor is included)
2MP Lens modules (sold separately): SLA-2M2400P (2.4mm), SLA-2M2800P (2.8mm), SLA-2M3600P (3.6mm), SLA-2M6000P (6mm), SLA-2M1200P (12mm)
5MP Lens modules (sold separately): SLA-5M3700P (3.7mm), SLA-5M4600P (4.6mm), SLA-5M7000P (7.0mm)
* PoE injector is not included in the product package</t>
  </si>
  <si>
    <t>PNM-9085RQZ1</t>
  </si>
  <si>
    <t>20MP 5MP x 4 Outdoor IR PTRZ Dome</t>
  </si>
  <si>
    <t>20MP</t>
  </si>
  <si>
    <t>P series network outdoor Multi-sensor Multi-Directional IR PTRZ dome camera with Digital Image Stabilization, 4 sensors x 5MP, max 8MP @30fps,  4  x 4.13 ~ 9.4mm motorized varifocal lenses (2.3x),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 Includes HPoE Injector.</t>
  </si>
  <si>
    <t>PNM-9031RV</t>
  </si>
  <si>
    <t>15MP IR Panoramic Outdoor Vandal Dome</t>
  </si>
  <si>
    <t>15MP</t>
  </si>
  <si>
    <t>P series network panoramic multi-sensor outdoor dome camera, 4 sensors x 5MP, 192º panoramic stitching, WiseIR 20m, 15MP @20fps, 4.3mm fixed lens, triple codec H.265/H.264/MJPEG with WiseStream II, 120dB WDR, Auto Day &amp; Night (ICR), Advanced Video Analytics, Motion detection, Handover to PTZ, Sound classification, Heatmap, LDC (Lens Distortion Correction), Audio In/Out, dual SD card slot, PoE+, 12VDC, IP66, IK10, NEMA4X</t>
  </si>
  <si>
    <t>XNF-9010RVM</t>
  </si>
  <si>
    <t>12MP IR Fisheye Camera</t>
  </si>
  <si>
    <t>X series powered by Wisenet 7 network 12M AI IR fisheye camera, 12MP @30fps, 1.08mm fixed lens, simple focus, triple codec H.265/H.264/MJPEG with WiseStream II, Multiple streaming, extreme WDR (120dB), True Day &amp; Night (ICR), IR viewable length 10m, Next level Cybersecurity, Licence-free onboard Intelligent Video Analytics, People counting, Heatmap, Queue management, Handover,  VariableView Mode, On Board Dewarping, Digital PTZ, Bi-directional audio, 2x microSD/SDHC/SDXC slots up to 1TB, IP66, IK10, NEMA 4X, PoE/12VDC, M12 Connector</t>
  </si>
  <si>
    <t>XNF-9010RV</t>
  </si>
  <si>
    <t>X series powered by Wisenet 7 network 12M AI IR fisheye camera, 12MP @30fps, 1.08mm fixed lens, simple focus, triple codec H.265/H.264/MJPEG with WiseStream II, Multiple streaming, extreme WDR (120dB), True Day &amp; Night (ICR), IR viewable length 10m, Next level Cybersecurity, Licence-free onboard Intelligent Video Analytics, People counting, Heatmap, Queue management, Handover,  VariableView Mode, On Board Dewarping, Digital PTZ, Bi-directional audio, 2x microSD/SDHC/SDXC slots up to 1TB, IP66, IK10, NEMA 4X, PoE/12VDC</t>
  </si>
  <si>
    <t>XNF-9010RS</t>
  </si>
  <si>
    <t>12MP IR Outdoor Stainless Steel Vandal Fisheye</t>
  </si>
  <si>
    <t>X series powered by Wisenet 7 network 4K IR indoor fisheye stainless steel camera, 12MP @30fps, 1.08mm fixed lens, simple focus, triple codec H.265/H.264/MJPEG with WiseStream II, Multiple streaming, extreme WDR (120dB), True Day &amp; Night (ICR), IR viewable length 10m, Next level Cybersecurity, Licence-free onboard Intelligent Video Analytics, People counting, Heatmap, Queue management, Handover,  VariableView Mode, On Board Dewarping, Digital PTZ, Bi-directional audio, 2x microSD/SDHC/SDXC slots up to 1TB, IP66, IK10, NEMA 4X, PoE/12VDC</t>
  </si>
  <si>
    <t>PNM-9084RQZ1</t>
  </si>
  <si>
    <t>8MP 2MP x 4 Outdoor IR PTRZ Dome</t>
  </si>
  <si>
    <t>P series network outdoor Multi-sensor Multi-Directional IR PTRZ dome camera with Digital Image Stabilization, 4 sensors x 2MP, max 8MP @60fps,  4  x 3.2 ~ 10mm motorized varifocal lenses (3.1x),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 Includes HPoE Injector.</t>
  </si>
  <si>
    <t>PNM-9084QZ1</t>
  </si>
  <si>
    <t>8MP 2MP x 4 Outdoor PTRZ Dome</t>
  </si>
  <si>
    <r>
      <rPr>
        <rFont val="Arial"/>
        <color rgb="FF000000"/>
        <sz val="12.0"/>
      </rPr>
      <t xml:space="preserve">P series network outdoor Multi-sensor Multi-Directional PTRZ dome camera with Digital Image Stabilization, 4 sensors x 2MP, max 8MP @60fps,  4  x 3 ~ 6mm motorized varifocal lenses (2x), triple codec H.265/H.264/MJPEG with WiseStream II, Multiple streaming, WDR 120dB, Auto Day &amp; Night (ICR), Advanced Video Analytics, Motion detection, Hallway view, Fog detection, HLC, Digital Image Stabilization, 4x SD/SDHC/SDXC slot, IP66, IK10, NEMA4X, HPoE Only. </t>
    </r>
    <r>
      <rPr>
        <rFont val="Arial"/>
        <color rgb="FFFF0000"/>
        <sz val="12.0"/>
      </rPr>
      <t>NOTE: HPoE Injector must be purchased separately, please refer to SPO-6011</t>
    </r>
  </si>
  <si>
    <t>PNM-12082RVD</t>
  </si>
  <si>
    <t>12MP 6MP x 2CH Multi-directional</t>
  </si>
  <si>
    <t>P series network multi-directional dual sensor outdoor vandal dome camera, 2 x 6MP@15fps, 360 degree 25m IR, 3.54~6.69mm motorised varifocal lenses, WiseNR, WiseStream II, ExtremeWDR (150dB), Defog, Hallway View, Analytics Virtual line (Crossing/Direction), Virtual area (Loitering/Enter/Exit), Motion detection, Defocus detection, Tampering, SD Card slot 512GB max, PoE+, Secure by Default, TPM 2.0 (FIPS 140-2), IP66, NEMA4X, IK10. Compatible with SPM-4210 I/O IP box to connect alarms/audio devices and support camera's audio detection and sound classification analytics</t>
  </si>
  <si>
    <t>XNO-9082R</t>
  </si>
  <si>
    <t>8MP IR Bullet</t>
  </si>
  <si>
    <t>X series powered by Wisenet 7 network outdoor vandal bullet camera,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 IK10, NEMA4X, PoE/12VDC/24VAC</t>
  </si>
  <si>
    <t>XNV-9082R</t>
  </si>
  <si>
    <t>8MP IR Outdoor Vandal Dome</t>
  </si>
  <si>
    <t>X series powered by Wisenet 7 network outdoor vandal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IP66/IP67/IP6K9K, IK10+, NEMA4X, PoE/12VDC</t>
  </si>
  <si>
    <t>XND-9082RF</t>
  </si>
  <si>
    <t>8MP IR Flush Mount Indoor Dome</t>
  </si>
  <si>
    <t>X series powered by Wisenet 7 network indoor flush mount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Plenum rate, PoE/12VDC</t>
  </si>
  <si>
    <t>XND-9082RV</t>
  </si>
  <si>
    <t>8MP IR Indoor Dome</t>
  </si>
  <si>
    <t>X series powered by Wisenet 7 network indoor vandal dome camera, Modular structure X PLUS, 8MP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PoE/12VDC</t>
  </si>
  <si>
    <t>XNB-9002</t>
  </si>
  <si>
    <t>8MP Box</t>
  </si>
  <si>
    <r>
      <rPr>
        <rFont val="Arial"/>
        <color theme="1"/>
        <sz val="12.0"/>
      </rPr>
      <t xml:space="preserve">NDAA Compliant
</t>
    </r>
    <r>
      <rPr>
        <rFont val="Arial"/>
        <color rgb="FFFF0000"/>
        <sz val="12.0"/>
      </rPr>
      <t>EOS
Limited stock available</t>
    </r>
  </si>
  <si>
    <t>X series powered by Wisenet 7 network box camera, 8MP @30fps, triple codec H.265/H.264/MJPEG with WiseStream II, Multiple streaming, extremeWDR, Auto Day &amp; Night (ICR),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PoE/12VDC/24VAC     ※ The lens is not included</t>
  </si>
  <si>
    <t>XNP-9300RW</t>
  </si>
  <si>
    <t>4K 30x IR Outdoor PTZ</t>
  </si>
  <si>
    <r>
      <rPr>
        <rFont val="Arial"/>
        <color theme="1"/>
        <sz val="12.0"/>
      </rPr>
      <t xml:space="preserve">NDAA Compliant
</t>
    </r>
    <r>
      <rPr>
        <rFont val="Arial"/>
        <color rgb="FFFF0000"/>
        <sz val="12.0"/>
      </rPr>
      <t>EOS
Limited stock available</t>
    </r>
  </si>
  <si>
    <t>X series powered by Wisenet 7 network IR outdoor PTZ camera with built-in wiper, 8MP @30fps, 30X Optical Zoom Lens (5 ~ 150mm) (57.42º ~ 2.19º), 360° Endless Pan range, 500°/sec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</si>
  <si>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XNP-9250</t>
  </si>
  <si>
    <t>4K 25x Outdoor PTZ</t>
  </si>
  <si>
    <r>
      <rPr>
        <rFont val="Arial"/>
        <color theme="1"/>
        <sz val="12.0"/>
      </rPr>
      <t xml:space="preserve">NDAA Compliant
</t>
    </r>
    <r>
      <rPr>
        <rFont val="Arial"/>
        <color rgb="FFFF0000"/>
        <sz val="12.0"/>
      </rPr>
      <t>EOS
Limited stock available</t>
    </r>
  </si>
  <si>
    <t>X series powered by Wisenet 7 network outdoor PTZ camera, 8MP @30fps, 25x Optical Zoom Lens (5 ~ 125mm) (57.42º ~ 2.71º), 360° Endless Pan range, 700°/sec Pan speed, Tilt: -20° ~ 90°, triple codec H.265/H.264/MJPEG with WiseStream II, Multiple streaming, extreme WDR (120dB), True Day &amp; Night (ICR),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 (with NW I/O Box which can be purchased separately)</t>
  </si>
  <si>
    <t>PNM-9000QB</t>
  </si>
  <si>
    <t>4x 2MP Covert Main Module</t>
  </si>
  <si>
    <t>P series powered by Wisenet 7 remote head cam, 4CHx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Compatible with following lens modules SLA-T2480A, SLA-T2480VA, SLA-T4680A, SLA-T4680VA, SLA-T1080FA (not included)     ※ The lens is not included</t>
  </si>
  <si>
    <t>QNF-9010</t>
  </si>
  <si>
    <t>12MP Indoor Fisheye</t>
  </si>
  <si>
    <t>Q series network indoor fisheye, 12MP CMOS sensor, 3008x3008 @ 30fps, 1.08mm fixed lens(187°), triple codec H.265/H.264/MJPEG with WiseStream II technology, 120dB WDR, defocus, motiion detection, tampering, people counting, heatmap, SD/SDHC/SDXC slot, HLC, PoE, IP42</t>
  </si>
  <si>
    <t>TNF-9010</t>
  </si>
  <si>
    <t>12MP Sensor Fisheye 
Parking Guidance</t>
  </si>
  <si>
    <r>
      <rPr>
        <rFont val="Arial"/>
        <color theme="1"/>
        <sz val="12.0"/>
      </rPr>
      <t xml:space="preserve">NDAA Compliant
</t>
    </r>
    <r>
      <rPr>
        <rFont val="Arial"/>
        <color rgb="FFFF0000"/>
        <sz val="12.0"/>
      </rPr>
      <t>EOS
Limited stock available</t>
    </r>
  </si>
  <si>
    <t>T series powered by Wisenet 7 network 12MP sensor Fisheye Camera - For parking guidance, 12MP @30fps, Stereographic type lens, 360° monitoring with onboard dewarping, triple codec H.265/H.264/MJPEG with WiseStream II, Multiple streaming, extreme WDR (120dB), up to 16 lots, various LED colours &amp; single/split mode, Central/side raceway installations AI based parking detection, VariableView Mode, Digital PTZ, Defocus/audio detection and tampering, microSD/SDHC/SDXC 1 slot up to 512GB, PoE/12VDC</t>
  </si>
  <si>
    <t>6MP Cameras</t>
  </si>
  <si>
    <t>XNV-8093R</t>
  </si>
  <si>
    <t>6MP AI IR Vandal Dome</t>
  </si>
  <si>
    <t>6MP</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</si>
  <si>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</si>
  <si>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XND-8093RV</t>
  </si>
  <si>
    <t>6MP AI IR Dome</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</si>
  <si>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</si>
  <si>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XNO-8083R</t>
  </si>
  <si>
    <t>6MP AI IR Bullet</t>
  </si>
  <si>
    <t>X series powered by Wisenet 7 AI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</si>
  <si>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XNV-8083R</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</si>
  <si>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</si>
  <si>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XNV-8083RZ</t>
  </si>
  <si>
    <t>X series powered by Wisenet 7 AI network IR vandal dome camera, Modular structure X PLUS, 6MP @30fps, 4.4 ~ 9.3mm motorized varifocal lens (2.1x), Colour 0.03 Lux (F1.3, 1/30sec, 30IRE), BW 0 Lux (IR LED on), IR viewable length: 30m(98.43ft) based on scene,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</si>
  <si>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XNV-8083Z</t>
  </si>
  <si>
    <t>6MP AI Vandal Dome</t>
  </si>
  <si>
    <t>X series powered by Wisenet 7 AI network non IR vandal dome camera, Modular structure X PLUS, 6MP @30fps, 4.4 ~ 9.3mm motorized varifocal lens (2.1x), Colour 0.03 Lux (F1.3, 1/30sec, 30IRE), BW 0 Lux (IR LED on), Day &amp; Night (ICR), extremeWDR (120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</si>
  <si>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XND-8083RV</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</si>
  <si>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</si>
  <si>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XNO-C8083R</t>
  </si>
  <si>
    <t>X series powered by Wisenet 7 AI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</si>
  <si>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XNV-C8083R</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</si>
  <si>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</si>
  <si>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XND-C8083RV</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</si>
  <si>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</si>
  <si>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XNP-C8303RW</t>
  </si>
  <si>
    <t>6MP 30x IR AI PTZ with built-in wiper</t>
  </si>
  <si>
    <t>X series powered by Wisenet 7 AI network outdoor IR PTZ camera, 6MP @30fps, 25x Optical Zoom Lens (5 ~ 150mm) (57.42º ~ 2.19º), 360° Endless Pan range, 350°/sec Pan speed, Tilt: -20° ~ 90°, triple codec H.265/H.264/MJPEG with WiseStream II, Multiple streaming, extreme WDR (120dB), True Day &amp; Night (ICR), 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Built-in wiper
* Alarm outputs, Audio detection, Sound classification(with NW I/O Box which can be purchased separately)</t>
  </si>
  <si>
    <t>XNP-C8253R</t>
  </si>
  <si>
    <t xml:space="preserve">6MP 25x IR AI PTZ </t>
  </si>
  <si>
    <t>X series powered by Wisenet 7 AI network outdoor IR PTZ camera, 6MP @30fps, 25x Optical Zoom Lens (5 ~ 125mm) (57.42º ~ 2.71º), 360° Endless Pan range, 700°/sec Pan speed, Tilt: -20° ~ 90°, triple codec H.265/H.264/MJPEG with WiseStream II, Multiple streaming, extreme WDR (120dB), True Day &amp; Night (ICR), 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</si>
  <si>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XNP-C8253</t>
  </si>
  <si>
    <t xml:space="preserve">6MP 25x AI PTZ </t>
  </si>
  <si>
    <t>X series powered by Wisenet 7 AI network outdoor PTZ camera, 6MP @30fps, 25x Optical Zoom Lens (5 ~ 125mm) (57.42º ~ 2.71º), 360° Endless Pan range, 700°/sec Pan speed, Tilt: -20° ~ 90°, triple codec H.265/H.264/MJPEG with WiseStream II, Multiple streaming up to 10 profiles, extreme WDR (120dB), True Day &amp; Night (ICR),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</si>
  <si>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XNO-8082R</t>
  </si>
  <si>
    <t>6MP IR Bullet</t>
  </si>
  <si>
    <r>
      <rPr>
        <rFont val="Arial"/>
        <color theme="1"/>
        <sz val="12.0"/>
      </rPr>
      <t xml:space="preserve">NDAA Compliant
</t>
    </r>
    <r>
      <rPr>
        <rFont val="Arial"/>
        <color rgb="FFFF0000"/>
        <sz val="12.0"/>
      </rPr>
      <t>EOS
Limited stock available</t>
    </r>
  </si>
  <si>
    <t>X series powered by Wisenet 7 network outdoor vandal bullet camera,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 IK10, NEMA4X, PoE/12VDC/24VAC</t>
  </si>
  <si>
    <t>XNV-8082R</t>
  </si>
  <si>
    <t>6MP IR Outdoor Vandal Dome</t>
  </si>
  <si>
    <r>
      <rPr>
        <rFont val="Arial"/>
        <color theme="1"/>
        <sz val="12.0"/>
      </rPr>
      <t xml:space="preserve">NDAA Compliant
</t>
    </r>
    <r>
      <rPr>
        <rFont val="Arial"/>
        <color rgb="FFFF0000"/>
        <sz val="12.0"/>
      </rPr>
      <t>EOS
Limited stock available</t>
    </r>
  </si>
  <si>
    <t>X series powered by Wisenet 7 network outdoor vandal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IP66/IP67/IP6K9K, IK10+, NEMA4X, PoE/12VDC</t>
  </si>
  <si>
    <t>XND-8082RF</t>
  </si>
  <si>
    <t>6MP IR Flush Mount Dome</t>
  </si>
  <si>
    <r>
      <rPr>
        <rFont val="Arial"/>
        <color theme="1"/>
        <sz val="12.0"/>
      </rPr>
      <t xml:space="preserve">NDAA Compliant
</t>
    </r>
    <r>
      <rPr>
        <rFont val="Arial"/>
        <color rgb="FFFF0000"/>
        <sz val="12.0"/>
      </rPr>
      <t>EOS
Limited stock available</t>
    </r>
  </si>
  <si>
    <t>X series powered by Wisenet 7 network indoor flush mount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Plenum rate, PoE/12VDC</t>
  </si>
  <si>
    <t>XND-8082RV</t>
  </si>
  <si>
    <t>6MP IR Indoor Dome</t>
  </si>
  <si>
    <r>
      <rPr>
        <rFont val="Arial"/>
        <color theme="1"/>
        <sz val="12.0"/>
      </rPr>
      <t xml:space="preserve">NDAA Compliant
</t>
    </r>
    <r>
      <rPr>
        <rFont val="Arial"/>
        <color rgb="FFFF0000"/>
        <sz val="12.0"/>
      </rPr>
      <t>EOS
Limited stock available</t>
    </r>
  </si>
  <si>
    <t>X series powered by Wisenet 7 network indoor vandal dome camera, Modular structure X PLUS, 6MP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PoE/12VDC</t>
  </si>
  <si>
    <t>XNF-8010RVM</t>
  </si>
  <si>
    <t>6MP Mobile IR Vandal Fisheye</t>
  </si>
  <si>
    <t>X series powered by Wisenet 5 network mobile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For Mobile Application (M12 Connector) RJ45 to M12 adapter is NOT included, 12VDC/PoE, IP66, IK10, -40°C ~ +55°C (-40°F ~ +131°F)</t>
  </si>
  <si>
    <t>XNF-8010RV</t>
  </si>
  <si>
    <t>6MP IR Vandal Fisheye</t>
  </si>
  <si>
    <t>X series powered by Wisenet 5 network outdoor vandal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 IP66, IK10, -40°C ~ +55°C (-40°F ~ +131°F)</t>
  </si>
  <si>
    <t>XNF-8010R</t>
  </si>
  <si>
    <t>6MP IR Indoor Fisheye</t>
  </si>
  <si>
    <t>X series powered by Wisenet 5 network indoor fisheye, 6MP CMOS sensor, 2048x2048 @ 30fps, 1.6mm fixed lens (192°), triple codec H.265/H.264/MJPEG with WiseStream II technology, 120dB WDR, USB port for easy installation, advanced video, sound classification and business analytics, high powered IR LEDs range of 49', simple focus, dual SD card, HLC, defog detection, DIS, 12VDC/PoE</t>
  </si>
  <si>
    <t>XNP-8300RW</t>
  </si>
  <si>
    <t>6MP 30x IR Outdoor PTZ</t>
  </si>
  <si>
    <r>
      <rPr>
        <rFont val="Arial"/>
        <color theme="1"/>
        <sz val="12.0"/>
      </rPr>
      <t xml:space="preserve">NDAA Compliant
</t>
    </r>
    <r>
      <rPr>
        <rFont val="Arial"/>
        <color rgb="FFFF0000"/>
        <sz val="12.0"/>
      </rPr>
      <t>EOS
Limited stock available</t>
    </r>
  </si>
  <si>
    <t>X series powered by Wisenet 7 network IR outdoor PTZ camera with built-in wiper, 6MP @30fps, 30X Optical Zoom Lens (5 ~ 150mm) (57.42º ~ 2.19º), 360° Endless Pan range, 500°/sec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</si>
  <si>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XNP-8250R</t>
  </si>
  <si>
    <t>6MP 25x IR Outdoor PTZ</t>
  </si>
  <si>
    <r>
      <rPr>
        <rFont val="Arial"/>
        <color theme="1"/>
        <sz val="12.0"/>
      </rPr>
      <t xml:space="preserve">NDAA Compliant
</t>
    </r>
    <r>
      <rPr>
        <rFont val="Arial"/>
        <color rgb="FFFF0000"/>
        <sz val="12.0"/>
      </rPr>
      <t>EOS
Limited stock available</t>
    </r>
  </si>
  <si>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</si>
  <si>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PNM-8082VT</t>
  </si>
  <si>
    <t>3x 2MP Outdoor Dome</t>
  </si>
  <si>
    <t>P series powered by Wisenet 7 network outdoor Multi-sensor Multi-Directional dome camera, 3 sensors x 2MP, max 6MP @30fps,  3 x 3 ~ 6mm motorized varifocal lenses (2x), triple codec H.265/H.264/MJPEG with WiseStream II, Multiple streaming, extremeWDR 150dB, Auto Day &amp; Night (ICR), Advanced Video Analytics, Motion detection, Hallway view, HLC, Digital Image Stabilization, 2x SD/SDHC/SDXC slot, IP66, IK10, NEMA4X, PoE+</t>
  </si>
  <si>
    <t>QNF-8010</t>
  </si>
  <si>
    <t>6MP Indoor Fisheye</t>
  </si>
  <si>
    <t>Q series network indoor fisheye, 6MP CMOS sensor, 2048x2048 @ 30fps, 1.14mm fixed lens (187°), triple codec H.265/H.264/MJPEG with WiseStream II technology, 120dB WDR, defocus, motion detection, tampering, people counting, heatmap, SD/SDHC/SDXC slot, HLC, PoE, IP42</t>
  </si>
  <si>
    <t>5MP Cameras</t>
  </si>
  <si>
    <t>XND-A8084RV</t>
  </si>
  <si>
    <t>5MP AI IR Indoor Dome</t>
  </si>
  <si>
    <t>5MP</t>
  </si>
  <si>
    <t xml:space="preserve">Powered by Wisenet 9, Indoor Network AI IR Dome Camera, 5MP resolution @ 30FPS, 3.3~9.3mm (2.8x), (99°~31°)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IP52, IK10, Operating temperature: -10°C~+50°C (14°F~+122°F), Power: PoE, Metal shielded RJ-45.  </t>
  </si>
  <si>
    <t>XNO-A8084R</t>
  </si>
  <si>
    <t>5MP AI IR Bullet</t>
  </si>
  <si>
    <t>Powered by Wisenet 9, Outdoor Network AI IR Vandal Bullet Camera, 5MP resolution @ 30FPS, 3.3~9.3mm (2.8x) (113°~47°)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-40°C~+60°C (-40°F~+140°F), Power: PoE, Metal shielded RJ-45.</t>
  </si>
  <si>
    <t>XNV-A8084R</t>
  </si>
  <si>
    <t>5MP AI IR Outdoor Vandal Dome</t>
  </si>
  <si>
    <t>Powered by Wisenet 9, Outdoor Network AI IR Vandal Dome Camera, 5MP resolution @ 30FPS, 3.3~9.3mm (2.8x), (113°~47°) motorized varifocal lens, H.265/H.264/MJPEG codec, IR viewable length 40m (131.2ft), USB-C port for easy installation, Day &amp; Night (ICR), extremeWDR (120dB), Hard-coated dome bubble, DIS with built-in gyro sensor, Handover, AI-based WiseStream, WiseNR Ⅱ (using AI engine), Dynamic privacy mask, IVA events based on AI engine (Motion &amp; Object detection, Line crossing, IVA area, Slip &amp; Fall, Sound classification), Classified object types (Person/Face/Vehicle/License plate), Object attributes (Person: Gender/Top/Bottom clothing color/Bag, Face: Age/Gender/Mask/Glasses, Vehicle: type/color), BestShot, Analytics events (Defocus, Motion, Tampering, Fog, Audio &amp; Shock detection), AI-based business intelligence (People/Vehicle/Crowd counting, Queue management, Heatmap), Secure element with FIPS 140-3 level3, Built-in microSD card slot (Up to 1TB), IP66/IP67, IK10, NEMA 4X, NEMA-TS 2(2.2.7.2-8, 2.2.8, 2.2.9), Operating temp: -40°C~+50°C (-40°F~+122°F), Power: PoE, Metal shielded RJ-45.</t>
  </si>
  <si>
    <t>QNE-C8013RL</t>
  </si>
  <si>
    <t>5MP Dual Light AI Outdoor FlatEye</t>
  </si>
  <si>
    <t>Q series AI networkoutdoor flateye camera, 5MP @ 30fps, 3mm fixed focal lens (H: 97° / V: 53°), triple codec H.265/H.264/MJPEG with Wisestream III, 120dB WDR, Dual Light – White LED range 30m (98ft), IR viewable length 30m (98ft), Motion Detection based on AI engine, Classified object type: Person/Vehicle (vehicle type: car/bus/truck/motorcycle/bicycle); IVA events based on AI engine: Virtual line (Crossing/Direction), Virtual area (Loitering/Intrusion/Enter/Exit/(Dis)Appear), defocus detection, hallway View,  SD card, video analytics, IP66/IP67, IK10, PoE, Operating temperature -40°C~+60°C(-40°F ~ +140°F) white color</t>
  </si>
  <si>
    <t>QND-C8013R</t>
  </si>
  <si>
    <r>
      <rPr>
        <rFont val="Arial"/>
        <color rgb="FF000000"/>
        <sz val="12.0"/>
      </rPr>
      <t xml:space="preserve">Q series AI network indoor dome camera, 5MP @ 30fps, fix lens 3mm (H:100°/V: 73°), triple codec H.265/H.264/MJPEG with WiseStream III technology, WiseNRⅡ(Based on AI engine), WDR 120dB, IR viewable length 25m(82.02ft),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t>
    </r>
    <r>
      <rPr>
        <rFont val="Arial"/>
        <color rgb="FFFF0000"/>
        <sz val="12.0"/>
      </rPr>
      <t>* Alarm I/O is supported through an optional cable (SPP-C7200)</t>
    </r>
  </si>
  <si>
    <t>QND-C8023R</t>
  </si>
  <si>
    <r>
      <rPr>
        <rFont val="Arial"/>
        <color rgb="FF000000"/>
        <sz val="12.0"/>
      </rPr>
      <t xml:space="preserve">Q series AI network indoor dome camera, 5MP @ 30fps, fix lens 4mm (H:80°/V: 59°),  triple codec H.265/H.264/MJPEG with WiseStream III technology, WiseNRⅡ(Based on AI engine), WDR 120dB, IR viewable length 30m(98.42ft), built-in mic,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 video analytics, USB for easy installation, open platform, PoE, Operating temperature -10°C~+45°C(+14°F ~ +113°F) white color. </t>
    </r>
    <r>
      <rPr>
        <rFont val="Arial"/>
        <color rgb="FFFF0000"/>
        <sz val="12.0"/>
      </rPr>
      <t>* Alarm I/O is supported through an optional cable (SPP-C7200)</t>
    </r>
  </si>
  <si>
    <t>QNO-C8083R</t>
  </si>
  <si>
    <t>Q sesries AI network outdoor vandal bullet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t>
  </si>
  <si>
    <t>QNO-C8013R</t>
  </si>
  <si>
    <t>Q series AI network outdoor vandal bullet camera, 5MP @ 30fps, fix lens 3mm (H:100°/V: 73°), triple codec H.265/H.264/MJPEG with WiseStream III technology, WiseNRⅡ(Based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</si>
  <si>
    <t>QNO-C8023R</t>
  </si>
  <si>
    <t>Q series AI network outdoor vandal bullet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t>
  </si>
  <si>
    <t>QNV-C8083R</t>
  </si>
  <si>
    <t>5MP AI IR Vandal Dome</t>
  </si>
  <si>
    <r>
      <rPr>
        <rFont val="Arial"/>
        <color rgb="FF000000"/>
        <sz val="12.0"/>
      </rPr>
      <t xml:space="preserve">Q series AI network outdoor vandal dome camera, 5MP @ 30fps, motorized vari-focal lens 3.2~10.2mm (H: 95°~29° / V: 69°~21°), triple codec H.265/H.264/MJPEG with Wisestream III (Based on AI engine), WiseNRⅡ(Based on AI engine), WDR 120dB, IR viewable length 30m (98ft), WiseMD based on AI engine, Classified object type: Person/Vehicle (vehicle type: car/bus/truck/motorcycle/bicycle); IVA events based on AI engine: Virtual line (Crossing/Direction), Virtual area (Loitering/Intrusion/Enter/Exit/(Dis)Appear), *Audio: Selectable(mic in/line in), defocus detection, hallway View, built-in SD card slot (1x256GB), video analytics, USB for easy installation, open platform, IP66, IK10, PoE, Operating temperature -30°C~+55°C(-22°F ~ +131°F) white color. </t>
    </r>
    <r>
      <rPr>
        <rFont val="Arial"/>
        <color rgb="FFFF0000"/>
        <sz val="12.0"/>
      </rPr>
      <t>* Alarm I/O and audio is supported through an optional cable (SPP-C7400)</t>
    </r>
  </si>
  <si>
    <t>QNV-C8013R</t>
  </si>
  <si>
    <r>
      <rPr>
        <rFont val="Arial"/>
        <color rgb="FF000000"/>
        <sz val="12.0"/>
      </rPr>
      <t xml:space="preserve">Q series AI mini network outdoor vandal dome camera, 5MP @ 30fps, fix lens 3mm (H:100°/V: 73°), triple codec H.265/H.264/MJPEG with WiseStream III technology, WiseNRⅡ(Based on AI engine), WDR 120dB, IR viewable length 25m(82.02ft),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t>
    </r>
    <r>
      <rPr>
        <rFont val="Arial"/>
        <color rgb="FFFF0000"/>
        <sz val="12.0"/>
      </rPr>
      <t>* Alarm I/O and audio is supported through an optional cable (SPP-C7400)</t>
    </r>
  </si>
  <si>
    <t>QNV-C8023R</t>
  </si>
  <si>
    <r>
      <rPr>
        <rFont val="Arial"/>
        <color rgb="FF000000"/>
        <sz val="12.0"/>
      </rPr>
      <t xml:space="preserve">Q series AI mini network outdoor vandal dome camera, 5MP @ 30fps, fix lens 4mm (H:80°/V: 59°), triple codec H.265/H.264/MJPEG with WiseStream III technology, WiseNRⅡ(Based on AI engine), WDR 120dB, IR viewable length 30m(98.42ft), Motion detection based on AI engine, Analytics events based on AI engine: Classified object type: [Person/Vehicle]; Attributes: Vehicle [Type and color: (car/bus/truck/motorcycle/bicycle)], Person [upper and bottom clothing color]; BestShot, Virtual line, Virtual area], defocus detection, hallway view, Dynamic privacy masking, built-in SD card slot (1x256GB), video analytics, USB for easy installation, open platform, IP66, IK10, PoE, Operating temperature -30°C~+55°C(-22°F ~ +131°F) white color. </t>
    </r>
    <r>
      <rPr>
        <rFont val="Arial"/>
        <color rgb="FFFF0000"/>
        <sz val="12.0"/>
      </rPr>
      <t>* Alarm I/O and audio is supported through an optional cable (SPP-C7400)</t>
    </r>
  </si>
  <si>
    <t>QNV-C8011R</t>
  </si>
  <si>
    <t>5MP AI IR Micro Vandal Dome</t>
  </si>
  <si>
    <t>Q series AI network IR Micro vandal dome camera, 5MP @30fps, 3.0mm fixed lens, triple codec H.265/H.264/MJPEG, Multiple streaming up to 5 profiles, 120dB WDR, Day &amp; Night (ICR), High Powered IR LEDs with IR viewable length 20m, Analytics events based on AI engine: Object detection (Person/Vehicle – car, truck, bus, bicycle, motorcycle),IVA (Virtual line/Area, Enter/Exit, Loitering, Direction, Intrusion),Analytics events : Defocus detection, Tampering, single microSD/SDHC/SDXC slot, ONVIF S/G/T/M, USB port for easy installation, IP66, IK10, NEMA4X, PoE, white</t>
  </si>
  <si>
    <t>QNV-C8012</t>
  </si>
  <si>
    <t>5MP AI Micro Vandal Dome</t>
  </si>
  <si>
    <t>Q series AI network Micro vandal dome camera, 5MP @30fps, 2.4 mm fixed lens, triple codec H.265/H.264/MJPEG, Multiple streaming up to 5 profiles, 120dB WDR, Day &amp; Night (ICR), Analytics events based on AI engine: Object detection (Person/Vehicle – car, truck, bus, bicycle, motorcycle),IVA (Virtual line/Area, Enter/Exit, Loitering, Direction, Intrusion), Analytics events : Defocus detection, Tampering, single microSD/SDHC/SDXC slot, ONVIF S/G/T/M, USB port for easy installation, IP66, IK10, NEMA4X, PoE, white</t>
  </si>
  <si>
    <t>TNV-C8011RW</t>
  </si>
  <si>
    <t>5MP AI IR Wall Mount</t>
  </si>
  <si>
    <t>Wall Camera</t>
  </si>
  <si>
    <t>T Series, wall mount AI panoramic camera, 5MP @ 30 FPS, 1.6mm fixed focal lens (HFoV: 175°, VFoV: 125°), Triple CODEC (H.265/H.264/MJPEG)with WiseStream III (based on AI engine) support, 120dB WDR, IR viewable length 15m (49ft),WiseMD 
based on AI engine, Classified object type: Person/Vehicle (vehicle type: car/bus/truck/motorcycle/bicycle); IVA events based on AI engine: Virtual line (Crossing/Direction), Virtual area (Loitering/Intrusion/Enter/Exit/(Dis)Appear), virtual area (intrusion/enter/exit), virtual Line (crossing/ direction), Business analytics: People Counting, Queue Management, Heatmap, Occupancy, Tamper detection, built-in mic, SD card, IP66, PoE, white.</t>
  </si>
  <si>
    <t>TNV-C8014RM</t>
  </si>
  <si>
    <t>5MP AI IR Mobile Camera</t>
  </si>
  <si>
    <t>Mobile</t>
  </si>
  <si>
    <r>
      <rPr>
        <rFont val="Arial"/>
        <color rgb="FF000000"/>
        <sz val="12.0"/>
      </rPr>
      <t xml:space="preserve">T Series AI Mobile IR vandal dome camera, 5MP, (2592x1944) 30fps, triple codec H.265/H.264/MJPEG with WiseStream technology, Fixed focal Lens 3mm (H:100°/V: 73°),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t>
    </r>
    <r>
      <rPr>
        <rFont val="Arial"/>
        <color rgb="FFFF0000"/>
        <sz val="12.0"/>
      </rPr>
      <t>(M12 connector to RJ-45 adaptor is not included)</t>
    </r>
  </si>
  <si>
    <t>TNV-C8034RM</t>
  </si>
  <si>
    <t xml:space="preserve">5MP AI IR Mobile Camera　</t>
  </si>
  <si>
    <r>
      <rPr>
        <rFont val="Arial"/>
        <color rgb="FF000000"/>
        <sz val="12.0"/>
      </rPr>
      <t xml:space="preserve">T Series AI Mobile IR vandal dome camera, 5MP, (2592x1944) 30fps, triple codec H.265/H.264/MJPEG with WiseStream technology, Fixed focal Lens 6mm (H:50°/V: 37°), Built in Mic, 120dB WDR, built-in IR range of 30m(98.43ft), Motion detection based on AI engine, Video Analytics based on AI[Object detection and Classification (Person(top/bottom clothing color),Vehicle(Type, color); BestShot, Virtual line, Virtual area], defocus detection, shock detection, hallway View, Heater, DIS with built-in Gyro sensor, Dynamic privacy masking, built-in SD card slot (1x256GB), IP66, IK10, Operating temperature: -40°C~+55°C(-40°F~+131°F), M12 Network connector </t>
    </r>
    <r>
      <rPr>
        <rFont val="Arial"/>
        <color rgb="FFFF0000"/>
        <sz val="12.0"/>
      </rPr>
      <t>(M12 connector to RJ-45 adaptor is not included)</t>
    </r>
  </si>
  <si>
    <t>XNV-8081Z</t>
  </si>
  <si>
    <t>5MP Outdoor Vandal PTRZ Dome</t>
  </si>
  <si>
    <r>
      <rPr>
        <rFont val="Arial"/>
        <color theme="1"/>
        <sz val="12.0"/>
      </rPr>
      <t xml:space="preserve">NDAA Compliant
</t>
    </r>
    <r>
      <rPr>
        <rFont val="Arial"/>
        <color rgb="FFFF0000"/>
        <sz val="12.0"/>
      </rPr>
      <t>EOS
Limited stock available</t>
    </r>
  </si>
  <si>
    <t>X series powered by Wisenet 5 network outdoor vandal dome camera, Modular structure X PLUS, 5MP @30fps,  3.6 ~ 9.4mm motorized varifocal lens (2.6x) (102.5°~38.7°), Motorized Pan/Tilt/Rotate/Zoom, triple codec H.265/H.264/MJPEG with WiseStream II, Multiple streaming, 120dB WDR, True Day &amp; Night (ICR), Advanced Video Analytics and Sound Classification and Business Analytics, Shock Detection, Audio Playback, Hallway View, Motion detection, Fog detection, HLC, Digital Image Stabilization with built-in Gyro sensor, Bi-directional audio and dual microSD/SDHC/SDXC slot, ONVIF S/G/T, USB port for easy installation, IP67/IP66/IP6K9K, IK10+, Nema 4X, PoE/12VDC, optional 24VAC, white &amp; ivory colour skins included, optional black skin cover</t>
  </si>
  <si>
    <t>XNO-8080R</t>
  </si>
  <si>
    <t>5MP IR Bullet</t>
  </si>
  <si>
    <t>X series powered by Wisenet 5 network IR outdoor vandal bullet camera, 5MP @30fps, 3.7 ~ 9.4mm motorized varifocal lens (2.5x) (100.2°~38.7°),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</si>
  <si>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XNO-8020R</t>
  </si>
  <si>
    <t>X series powered by Wisenet 5 network IR outdoor vandal bullet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</si>
  <si>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XNO-8030R</t>
  </si>
  <si>
    <t>X series powered by Wisenet 5 network IR outdoor vandal bullet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</si>
  <si>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XNO-8040R</t>
  </si>
  <si>
    <t>X series powered by Wisenet 5 network IR outdoor vandal bullet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</si>
  <si>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XND-8080RV</t>
  </si>
  <si>
    <t>5MP IR Indoor Vandal Dome</t>
  </si>
  <si>
    <t>X series powered by Wisenet 5 network IR indoor vandal dome camera, 5MP @30fps, 3.9 ~ 9.4mm motorized varifocal lens (2.4x) (92.1°~38.7°), triple codec H.265/H.264/MJPEG with WiseStream II, Multiple streaming, 120dB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</si>
  <si>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XND-8080R</t>
  </si>
  <si>
    <t>5MP IR Indoor Dome</t>
  </si>
  <si>
    <t>X series powered by Wisenet 5 network IR indoor dome camera, 5MP @30fps, 3.9 ~ 9.4mm motorized varifocal lens (2.4x) (92.1°~38.7°), triple codec H.265/H.264/MJPEG with WiseStream II, Multiple streaming, 120dB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</si>
  <si>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XND-8020R</t>
  </si>
  <si>
    <t>X series powered by Wisenet 5 network IR indoor dome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</si>
  <si>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XND-8030R</t>
  </si>
  <si>
    <t>X series powered by Wisenet 5 network IR indoor dome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</si>
  <si>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XND-8040R</t>
  </si>
  <si>
    <t>X series powered by Wisenet 5 network IR indoor dome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</si>
  <si>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XND-8020F</t>
  </si>
  <si>
    <t xml:space="preserve">5MP Flush Mount </t>
  </si>
  <si>
    <t>X series powered by Wisenet 5 network flush mount dome camera, 5MP @30fps, 3.7mm fixed lens (97.5°), triple codec H.265/H.264/MJPEG with WiseStream II, Multiple streaming, 120dB WDR,  Electronic Day &amp; Night, Advanced Video Analytics and Sound Classification and Business Analytics, Hallway View, Motion detection, Fog detection, HLC, Handover, Digital Image Stabilization, Built-in Mic, 1-way audio and microSD/SDHC/SDXC slot, PoE</t>
  </si>
  <si>
    <t>XNV-8080RSA</t>
  </si>
  <si>
    <t>5MP Stainless Steel IR Dome</t>
  </si>
  <si>
    <t xml:space="preserve">NDAA compliant
</t>
  </si>
  <si>
    <t>X series powered by Wisenet 5 network IR outdoor stainless steel vandal dome camera, 5MP @60fps, 3.9 ~ 9.4mm motorized varifocal lens (2.4x) (93°~38°),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IP66, IP6K9K, IK10+, Nema 4X, PoE/12VDC/24VAC</t>
  </si>
  <si>
    <t>XNV-8080R</t>
  </si>
  <si>
    <t>5MP IR Outdoor Dome</t>
  </si>
  <si>
    <t>X series powered by Wisenet 5 network IR outdoor vandal dome camera, 5MP @30fps, 3.9 ~ 9.4mm motorized varifocal lens (2.4x) (92.1°~38.7°),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 IK10, Nema 4X, PoE/12VDC/24VAC</t>
  </si>
  <si>
    <t>XNV-8020R</t>
  </si>
  <si>
    <t>5MP IR Outdoor Vandal Dome</t>
  </si>
  <si>
    <t>X series powered by Wisenet 5 network IR outdoor vandal dome camera, 5MP @30fps, 3.7mm fixed lens (97.5°),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</si>
  <si>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XNV-8030R</t>
  </si>
  <si>
    <t>X series powered by Wisenet 5 network IR outdoor vandal dome camera, 5MP @30fps, 4.6mm fixed lens (77.9°),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</si>
  <si>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XNV-8040R</t>
  </si>
  <si>
    <t>X series powered by Wisenet 5 network IR outdoor vandal dome camera, 5MP @30fps, 7mm fixed lens (50.7°), triple codec H.265/H.264/MJPEG with WiseStream II, Multiple streaming, 120dB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 IK10, PoE/12VDC</t>
  </si>
  <si>
    <t>QNO-8080R</t>
  </si>
  <si>
    <t>Q series network IR outdoor vandal bullet camera, 5MP @30fps, 3.2 ~ 10.0mm motorized varifocal lens (3.14x) (100.0°~30.0°), triple codec H.265/H.264/MJPEG with WiseStream II, Multiple streaming, 120dB WDR, Auto Day &amp; Night (ICR), IR viewable length 30m, Advanced Video Analytics, Hallway View, Motion detection, LDC (Lens Distortion Correction), SD/SDHC/SDXC slot, CVBS for easy installation, IP66, IK10, PoE</t>
  </si>
  <si>
    <t>QNO-8020R</t>
  </si>
  <si>
    <t>Q series network IR outdoor vandal bullet camera, 5MP @30fps, 4.0mm fixed lens (79.8°), triple codec H.265/H.264/MJPEG with WiseStream II, Multiple streaming, 120dB WDR, Auto Day &amp; Night (ICR), IR viewable length 25m, Advanced Video Analytics, Hallway View, Motion detection, LDC (Lens Distortion Correction), SD/SDHC/SDXC slot, CVBS for easy installation, IP66, IK10, PoE</t>
  </si>
  <si>
    <t>QNO-8010R</t>
  </si>
  <si>
    <t>Q series network IR outdoor vandal bullet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IP66, IK10, PoE</t>
  </si>
  <si>
    <t>QND-8080R</t>
  </si>
  <si>
    <t>Q series network IR indoor dome camera, 5MP @30fps, 3.2 ~ 10.0mm motorized varifocal lens (3.1x) (100.3°~31.2°), triple codec H.265/H.264/MJPEG with WiseStream II, Multiple streaming, 120dB WDR, Auto Day &amp; Night (ICR), IR viewable length 20m, Advanced Video Analytics, Hallway View, Motion detection, LDC (Lens Distortion Correction), SD/SDHC/SDXC slot, CVBS for easy installation, PoE</t>
  </si>
  <si>
    <t>QND-8020R</t>
  </si>
  <si>
    <t>Q series network IR indoor dome camera, 5MP @30fps, 4.0mm fixed lens (79.8°), triple codec H.265/H.264/MJPEG with WiseStream II, Multiple streaming, 120dB WDR, Auto Day &amp; Night (ICR), IR viewable length 20m, Advanced Video Analytics, Hallway View, Motion detection, LDC (Lens Distortion Correction), SD/SDHC/SDXC slot, CVBS for easy installation, PoE</t>
  </si>
  <si>
    <t>QND-8010R</t>
  </si>
  <si>
    <t>Q series network IR indoor dome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PoE</t>
  </si>
  <si>
    <t>QND-8021</t>
  </si>
  <si>
    <t>5MP Mini Dome</t>
  </si>
  <si>
    <t>Q series network indoor mini dome camera, 5MP @30fps, 4.0mm fixed lens (80.14°), triple codec H.265/H.264/MJPEG with WiseStream II, Multiple streaming, 120dB WDR, Auto Day &amp; Night (ICR), Business Analytics (People counting), Motion detection, Tampering, Defocus detection, Hallway View,  microSD/SDHC/SDXC slot, HDMI output for public view monitor, LDC support (Lens Distortion Correction), IP42, IK08, PoE, Compact size 99 x 56mm/165gr</t>
  </si>
  <si>
    <t>QND-8011</t>
  </si>
  <si>
    <t>Q series network indoor mini dome camera, 5MP @30fps, 2.8mm fixed lens (104.4°), triple codec H.265/H.264/MJPEG with WiseStream II, Multiple streaming, 120dB WDR, Auto Day &amp; Night (ICR), Business Analytics (People counting), Motion detection, Tampering, Defocus detection, Hallway View,  microSD/SDHC/SDXC slot, HDMI output for public view monitor, LDC support (Lens Distortion Correction), IP42, IK08, PoE, Compact size 99 x 56mm/165gr</t>
  </si>
  <si>
    <t>QNV-8080R</t>
  </si>
  <si>
    <t>Q series network IR outdoor vandal dome camera, 5MP @30fps, 3.2 ~ 10.0mm motorized varifocal lens (3.1x) (100.3°~31.2°), triple codec H.265/H.264/MJPEG with WiseStream II, Multiple streaming, 120dB WDR, Auto Day &amp; Night (ICR), IR viewable length 30m, Advanced Video Analytics, Hallway View, Motion detection, LDC (Lens Distortion Correction), SD/SDHC/SDXC slot, CVBS for easy installation, IP66, IK10, PoE</t>
  </si>
  <si>
    <t>QNV-8020R</t>
  </si>
  <si>
    <t>Q series network IR outdoor vandal dome camera, 5MP @30fps, 4.0mm fixed lens (79.8°), triple codec H.265/H.264/MJPEG with WiseStream II, Multiple streaming, 120dB WDR, Auto Day &amp; Night (ICR), IR viewable length 25m, Advanced Video Analytics, Hallway View, Motion detection, LDC (Lens Distortion Correction), SD/SDHC/SDXC slot, CVBS for easy installation, IP66, IK10, PoE</t>
  </si>
  <si>
    <t>QNV-8010R</t>
  </si>
  <si>
    <t>Q series network IR outdoor vandal dome camera, 5MP @30fps, 2.8mm fixed lens (104.7°), triple codec H.265/H.264/MJPEG with WiseStream II, Multiple streaming, 120dB WDR, Auto Day &amp; Night (ICR), IR viewable length 20m, Advanced Video Analytics, Hallway View, Motion detection, LDC (Lens Distortion Correction), SD/SDHC/SDXC slot, CVBS for easy installation, IP66, IK10, PoE</t>
  </si>
  <si>
    <t>QNE-8011R</t>
  </si>
  <si>
    <t>5MP IR Flateye</t>
  </si>
  <si>
    <t>Q series network IR outdoor vandal flateye camera, 5MP @30fps, 2.8mm fixed lens (104.4°), triple codec H.265/H.264/MJPEG with WiseStream II, Multiple streaming, 120dB WDR, Auto Day &amp; Night (ICR), IR viewable length 20m, Advanced Video Analytics, Motion detection, Tampering, Defocus detection, Hallway View, microSD/SDHC/SDXC slot, LDC support (Lens Distortion Correction), IP67, IK10, PoE</t>
  </si>
  <si>
    <t>TNV-8011C</t>
  </si>
  <si>
    <t>5MP Corner Mount</t>
  </si>
  <si>
    <t>Corner Camera</t>
  </si>
  <si>
    <t>T series network outdoor anti-ligature corner mount camera, 5MP @30fps, 2.3mm fixed lens, triple codec H.265/H.264/MJPEG with WiseStream II, Multiple streaming, 120dB WDR, Auto Day &amp; Night (ICR), Advanced Video Analytics, Hallway View, Motion detection, Lens Distortion Correction, Digital Image Stabilization, Audio In/Out, 1 Input/1 Output, SD Card slot, PoE, IP66, IK10, IP6K9K</t>
  </si>
  <si>
    <t>XNV-8081RE</t>
  </si>
  <si>
    <t>X series powered by Wisenet 5 network IR outdoor vandal dome camera, Modular structure X PLUS, PoE+ in / PoE out,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built-in Gyro sensor, Bi-directional audio and dual micro SD/SDHC/SDXC slot, ONVIF S/G/T, USB port for easy installation, IP67/IP66/IP6K9K, IK10+, Nema 4X, PoE+</t>
  </si>
  <si>
    <t>XND-8081REV</t>
  </si>
  <si>
    <t>X series powered by Wisenet 5 network IR indoor vandal dome camera, Modular structure X PLUS, PoE+ in / PoE out,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t>
  </si>
  <si>
    <t>4MP Cameras</t>
  </si>
  <si>
    <t>XNO-C7083R</t>
  </si>
  <si>
    <t>4MP AI IR Bullet</t>
  </si>
  <si>
    <t>4MP</t>
  </si>
  <si>
    <t>X series powered by Wisenet 7 AI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</si>
  <si>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XNV-C7083R</t>
  </si>
  <si>
    <t>4MP AI IR Vandal Dome</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</si>
  <si>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</si>
  <si>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XND-C7083RV</t>
  </si>
  <si>
    <t>4MP AI IR Dome</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</si>
  <si>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</si>
  <si>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XNP-C7310R</t>
  </si>
  <si>
    <t>4MP AI Focus IR PTZ</t>
  </si>
  <si>
    <t>X series Powered by Wisenet 7 and AI,4MP @ 30FPS resolution, 6.91mm~214.64mm (31x) lens with Wise AF intelligent autofocus, adaptive Wise IR (300m),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IP66, IP67, IK10, NEMA4X, NEMA-TS 2(2.2.8, 2.2.9),  FIPS 140-2, HPoE injector included, Operating Temperature -50°C~+55°C(-58°F ~ +131°F), (Compatible with I/O Box SPM-4210)</t>
  </si>
  <si>
    <t>TNP-A7430RW</t>
  </si>
  <si>
    <t>4MP AI IR, Rugged PTZ</t>
  </si>
  <si>
    <t>T series powered by Wisenet 9, AI Rugged PTZ Positoning Camera, 4MP @ 30FPS resolution, 6.1mm~262.4mm(43x) autofocus lens, adaptive Wise IR (450m), extremeWDR 120dB, Day &amp; Night (ICR), H.265/H.264/MJPEG codec, Optical image stabilization,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</si>
  <si>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PNO-A7082R</t>
  </si>
  <si>
    <t>P series powered by Wisenet 9, Network AI IR Outdoor Vandal Bullet Camera; 4MP Max Resolution 2592x1520 @ 60FPS; 0.03Lux@F1.3 (Color), 0Lux (B/W IR LED On); 4.6~9.35mm(2.0x); FoV H:105°~47°; Motorized Varifocal Lens; Hard-Coated Window; H.265/H.264/MJPEG Codec; IR Viewable Length 60m (196.85ft);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Operating Temp: -50°C~+55°C (-58°F~+131°F); Secure element with FIPS 140-3 level3; Built-In MicroSD Card Slot (1TBx2); Power: PoE+/12VDC; Metal shielded RJ-45</t>
  </si>
  <si>
    <t>PNV-A7082RZ</t>
  </si>
  <si>
    <t>P series powered by Wisenet 9, Network AI IR Outdoor Vandal Dome Camera; 4MP Max Resolution 2592x1520 @ 60FPS; 0.03Lux@F1.3 (Color), 0Lux (B/W IR LED On); 4.6~9.35mm(2.0x); FoV H:105°~47°; Motorized Varifocal Lens, Remote lens adjustment (PTRZ); Hard-coated dome bubble; H.265/H.264/MJPEG Codec; IR Viewable Length 30m (98.43ft); USB Port for Easy Installation;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IP66/IP67, IK10, NEMA 4X, NEMA-TS 2(2.2.7.2-8, 2.2.8, 2.2.9); Secure element with FIPS 140-3 level3; Operating Temp: -50°C~+55°C (-58°F~+131°F); Built-In MicroSD Card Slot (1TBx2); Power: PoE+; Metal shielded RJ-45</t>
  </si>
  <si>
    <t>PND-A7082RV</t>
  </si>
  <si>
    <t>P series powered by Wisenet 9, Network AI IR Indoor Dome Camera; 4MP Max Resolution 2592x1520 @ 60FPS; 0.03Lux@F1.3 (Color), 0Lux (B/W IR LED On); 4.6~9.35mm(2.0x); FoV H:105°~47°; Motorized Varifocal Lens, Hard-coated dome bubble; H.265/H.264/MJPEG Codec; IR Viewable Length 60m (196.85ft); USB Port for Easy Installation; Selectable microphone input (mic in/line in/built-in 3mics), AI-Based WiseStream; WiseNR Ⅱ (using AI engine); Day &amp; Night (ICR); extremeWDR (120dB); DIS with Built-In Gyro Sensor; Handover; Dynamic Privacy Mask; AI Engine Based Analytics: Motion &amp; Object Detection, Line Crossing, IVA Area, Slip &amp; Fall, Sound Classification; Object Detection:  Person/Face/Vehicle/License Plate; Object Attributes: Person (Gender, Top/Bottom Clothing Color, Bag), Face (Age, Gender, Mask, Glasses), Vehicle (Type, Color); BestShot; Analytics Events: Defocus, Motion, Tampering, Fog, Audio &amp; Shock Detection; AI Based Business Intelligence: People/Vehicle/Crowd Counting, Queue Management, Heatmap; IP52, IK10; Operating Temp: -25°C~+50°C (-13°F~+122°F); Secure element with FIPS 140-3 level3; Built-In MicroSD Card Slot (1TBx2); Power: PoE+/12VDC; Metal shielded RJ-45</t>
  </si>
  <si>
    <t>PNM-C7083RVD</t>
  </si>
  <si>
    <t>2x 2MP AI Multi-directional</t>
  </si>
  <si>
    <t>P series network AI based multi-directional dual sensor outdoor vandal dome camera, 2 x 2MP@25/30fps, 360 degree 25m IR, 3~6mm motorised varifocal lenses, WiseNR II, Auto prefer shutter control, WiseStream III, ExtremeWDR (120dB), Hallway View, Analytics AI Object detection with classification: Person, Face, Vehicle, License plate and vehicle attributes Car, Bus, Truck, Motorcycle, Bicycle, Virtual line (Crossing/Direction), Virtual area (Loitering/Intrusion/Enter/Exit), BestShot, Motion detection, Defocus detection, Tampering, SD Card slot 512GB max, PoE+, Secure by Default, TPM 2.0 (FIPS 140-2), IP66, NEMA4X, IK10. Compatible with SPM-4210 I/O IP box to connect alarms/audio devices and support camera's audio detection and sound classification analytics</t>
  </si>
  <si>
    <t>PNM-7082RVD</t>
  </si>
  <si>
    <t>2x 2MP Multi-directional</t>
  </si>
  <si>
    <t>P series network multi-directional dual sensor outdoor vandal dome camera, 2 x 2MP@25/30fps, 360 degree 25m IR, 3~6mm motorised varifocal lenses, WiseNR, WiseStream II, ExtremeWDR (150dB), Defog, Hallway View, Defocus detection, Motion detection, Tampering, Virtual line(Crossing/Direction), Virtual area(Loitering/Enter/Exit), SD Card slot 512GB max, PoE+, Secure by Default, TPM 2.0 (FIPS 140-2), IP66, NEMA4X, IK10. Compatible with SPM-4210 I/O IP box to connect alarms/audio devices and support camera's audio detection and sound classification analytics</t>
  </si>
  <si>
    <t>QNO-7082R</t>
  </si>
  <si>
    <t>4MP IR Bullet</t>
  </si>
  <si>
    <t>Q series network IR outdoor vandal bullet camera, 4MP @30fps, 3.2 ~ 10.0mm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</si>
  <si>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QNO-7032R</t>
  </si>
  <si>
    <t>Q series network IR outdoor vandal bullet camera, 4MP @30fps, 6mm fixed lens, H.265/H.264/ MJPEG with WiseStream, Multiple streaming, 120dB WDR, Day &amp; Night (Auto ICR), IR viewable length 30m, Motion detection, Tampering, Defocus detection, Hallway View, 1-way audio and microSD/SDHC/SDXC slot, LDC support (Lens Distortion Correction), IP66, IK10, PoE/12VDC</t>
  </si>
  <si>
    <t>QNO-7022R</t>
  </si>
  <si>
    <t>Q series network IR outdoor vandal bullet camera, 4MP @30fps, 4.0mm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</si>
  <si>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QNO-7012R</t>
  </si>
  <si>
    <t>Q series network IR outdoor vandal bullet camera, 4MP @30fps, 2.8mm fixed lens,  H.265/H.264 /MJPEG with WiseStream, Multiple streaming, 120dB WDR, Auto(ICR), IR viewable length 20m, Defocus detection, Directional detection, Motion detection, Enter/Exit, Tampering, Virtual line, Hallway View, 1-way audio and microSD/SDHC /SDXC slot, LDC support (Lens Distortion Correction), IP66, IK10, PoE/12VDC</t>
  </si>
  <si>
    <t>QND-7082R</t>
  </si>
  <si>
    <t>4MP IR Dome</t>
  </si>
  <si>
    <t>Q series network IR indoor dome camera, 4MP @30fps, 3.2 ~ 10.0mm motorized varifocal lens, 1/3" CMOS,triple codec H.265/H.264/Main/High/MJPEG with WiseStream, Multiple streaming, 120dB WDR, True Day &amp; Night (Auto ICR), IR viewable length 20m, SSNR,Motion detection, Tampering, Defocus detection, n, Directional detection, Motion detection, Enter/Exit Hallway View, Built-in MIC and microSD/SDHC/SDXC slot, LDC support (Lens Distortion Correction), PoE/12VDC</t>
  </si>
  <si>
    <t>QND-7032R</t>
  </si>
  <si>
    <t>Q series network IR indoor dome camera, 4MP @30fps, 6mm fixed lens, H.265/H.264/MJPEG with WiseStream, Multiple streaming, 120dB WDR, Day &amp; Night (Auto ICR), IR viewable length 20m, Motion detection, Tampering, Defocus detection, Hallway View, 1-way audio and microSD/SDHC/SDXC slot, LDC support (Lens Distortion Correction), PoE/12VDC</t>
  </si>
  <si>
    <t>QND-7022R</t>
  </si>
  <si>
    <t>Q series network IR indoor dome camera, 4MP @30fps, 4.0mm fixed lens, H.265/H.264/MJPEG with WiseStream, Multiple streaming, 120dB WDR, True Day &amp; Night (ICR), IR viewable length 20m, Motion detection, Tampering, Defocus detection, Hallway View, 1-way audio and microSD/SDHC/SDXC slot, LDC support (Lens Distortion Correction), PoE/12VDC; RAL9003</t>
  </si>
  <si>
    <t>QND-7012R</t>
  </si>
  <si>
    <t>Q series network IR indoor dome camera, 4MP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PoE/12VDC</t>
  </si>
  <si>
    <t>QNV-7082R</t>
  </si>
  <si>
    <t>4MP IR Vandal Dome</t>
  </si>
  <si>
    <t>Q series network IR outdoor vandal dome camera, 4MP @30fps, 3.2 ~ 10.0mm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SSNR,  IP66, IK10, PoE/12VDC</t>
  </si>
  <si>
    <t>QNV-7032R</t>
  </si>
  <si>
    <t>Q series network IR outdoor vandal dome camera, 4MP @30fps, 6mm fixed lens, triple codec H.265/H.264/Main/High/MJPEG with WiseStream, Multiple streaming, 120dB WDR, True Day &amp; Night (ICR), IR viewable length 30m, Motion detection, Tampering, Defocus detection, Hallway View, 1-way audio, Analytics, Network disconnect, Alarm input and microSD/SDHC/SDXC slot, LDC support (Lens Distortion Correction), IP66, IK10, PoE/12VDC</t>
  </si>
  <si>
    <t>QNV-7022R</t>
  </si>
  <si>
    <t>Q series network IR outdoor vandal dome camera, 4MP @30fps, 4.0mm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</si>
  <si>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QNV-7012R</t>
  </si>
  <si>
    <t>Q series network IR outdoor vandal dome camera, 4MP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IP66, IK10, PoE/12VDC</t>
  </si>
  <si>
    <t>ANE-L7012L</t>
  </si>
  <si>
    <t>4MP White Light Flateye</t>
  </si>
  <si>
    <t>A Series</t>
  </si>
  <si>
    <t>A Series White Light turret camera, 4MP @ 30 FPS, 3mm fixed focal lens, FoV H: 107.7° / V: 59.0°, WiseStream II, triple codec (H.265/H.264/MJPEG), 120dB WDR, White Light LED 20m(65.62ft), Flashing and Constant warning, virtual area (intrusion/enter/exit), virtual Line (crossing/ direction), motion detection, tampering, hallway view, SD card, IP66, PoE, white.</t>
  </si>
  <si>
    <t>ANE-L7012R</t>
  </si>
  <si>
    <t>4MP Turret</t>
  </si>
  <si>
    <t>A Series turret camera, 4MP @ 30 FPS, 3mm fixed focal lens, WiseStream II, Triple codec (H.265/H.264/MJPEG),  120dB WDR, IR LEDs 20m(65.62ft), day &amp; night (ICR), FoV H: 98.3° / V: 54.2°, virtual area (intrusion/enter/exit), virtual Line (crossing/ direction), motion detection, tampering, hallway view, SD card, IP66, PoE, white.</t>
  </si>
  <si>
    <t>ANO-L7012R</t>
  </si>
  <si>
    <t>A Series bullet camera, 4MP @ 30 FPS, 3mm fixed focal lens,  WiseStream II, triple codec (H.265/H.264/MJPEG),120dB WDR, IR LEDs 20m(65.62ft), day &amp; night (ICR), FoV H: 98.3° / V: 54.2°, virtual area (intrusion/enter/exit), virtual Line (crossing/ direction), motion detection, tampering, hallway view, SD card, IP66, PoE, white.</t>
  </si>
  <si>
    <t>ANO-L7022R</t>
  </si>
  <si>
    <t>A Series bullet camera, 4MP @ 30 FPS, 4mm fixed focal lens, WiseStreamII,  triple codec (H.265/H.264/MJPEG), 120dB WDR, IR LEDs  25m(82.02ft), day &amp; night (ICR), FOV H: 78.3° / V: 42.9°, virtual area (intrusion/enter/exit), virtual Line (crossing/ direction), motion detection, tampering, hallway view, SD card, IP66, PoE, white.</t>
  </si>
  <si>
    <t>ANO-L7082R</t>
  </si>
  <si>
    <t>A Series bullet camera, 4MP @ 30 FPS, motorized varifocal lens 3.1x (3.3~10.3mm) (94.8° ~ 28.1°) , WiseStream II, triple codec (H.265/H.264/MJPEG), 120dB WDR, IR LEDs 30m (98.43ft), day &amp; night (ICR), virtual area (intrusion/enter/exit), virtual Line (crossing/ direction), motion detection, tampering, hallway view, SD card, IP66, PoE, white.</t>
  </si>
  <si>
    <t>ANV-L7012R</t>
  </si>
  <si>
    <t>A Series outdoor vandal dome camera, 4MP @ 30 FPS, 3mm fixed focal lens, WiseStreamII,  triple codec (H.265/H.264/MJPEG), 120dB WDR, IR LEDs 20m(65.62ft), day &amp; night (ICR), FoV H: 98.3° / V: 54.2°, virtual area (intrusion/enter/exit), virtual Line (crossing/ direction), motion detection, tampering, hallway view, SD card, IP66, IK10, PoE, white.</t>
  </si>
  <si>
    <t>ANV-L7082R</t>
  </si>
  <si>
    <t>A Series outdoor vandal dome camera, 4MP @ 30 FPS,  motorized varifocal lens 3.1x (3.3~10.3mm) (94.8° ~ 28.1°), WiseStream II, triple codec (H.265/H.264/MJPEG), 120dB WDR, IR LEDs 30m (98.43ft), day &amp; night (ICR), virtual area (intrusion/enter/exit), virtual Line (crossing/ direction), motion detection, tampering, hallway view, SD card, IP66, IK10, PoE, white.</t>
  </si>
  <si>
    <t>3MP Cameras</t>
  </si>
  <si>
    <t>TNV-C7013RC</t>
  </si>
  <si>
    <t>3MP AI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</si>
  <si>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</si>
  <si>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TNO-7180RLP</t>
  </si>
  <si>
    <t>Road AI 3MP High Speed Global Shutter Camera</t>
  </si>
  <si>
    <r>
      <rPr>
        <rFont val="Arial"/>
        <color theme="1"/>
        <sz val="12.0"/>
      </rPr>
      <t xml:space="preserve">NDAA Compliant
</t>
    </r>
    <r>
      <rPr>
        <rFont val="Arial"/>
        <color rgb="FFFF0000"/>
        <sz val="12.0"/>
      </rPr>
      <t>EOS
Limited stock available</t>
    </r>
  </si>
  <si>
    <r>
      <rPr>
        <rFont val="Arial"/>
        <color rgb="FF000000"/>
        <sz val="12.0"/>
      </rPr>
      <t>T series Road AI 3MP High Speed Global Shutter Camera, 3MP Global Shutter Sensor, Maximum 55fps @3MP and 50fps @2MP on all resolutions, 6.8~120mm(18x) motorized varifocal, WiseIR 50m (164.04ft), Embedded Wisenet Road AI application with ANPR and MMCR Analytics, Recognition for up to 2 traffic lanes at speeds of up to 200kmh (125mph), List Management, Smart Search, Statistics, Installation aids LPR Setup Tool, Road AI Setup Wizard, USB/CVBS video output, PoE++, 12VDC (</t>
    </r>
    <r>
      <rPr>
        <rFont val="Arial"/>
        <color rgb="FFFF0000"/>
        <sz val="12.0"/>
      </rPr>
      <t>HPoE Injector is not included</t>
    </r>
    <r>
      <rPr>
        <rFont val="Arial"/>
        <color rgb="FF000000"/>
        <sz val="12.0"/>
      </rPr>
      <t>), • IP66, IK10, NEMA 4X, NEMA TS 2</t>
    </r>
  </si>
  <si>
    <t>TNV-7011RC</t>
  </si>
  <si>
    <t>3MP IR Anti-ligature Corner Mount</t>
  </si>
  <si>
    <r>
      <rPr>
        <rFont val="Arial"/>
        <color theme="1"/>
        <sz val="12.0"/>
      </rPr>
      <t xml:space="preserve">NDAA compliant
</t>
    </r>
    <r>
      <rPr>
        <rFont val="Arial"/>
        <color rgb="FFFF0000"/>
        <sz val="12.0"/>
      </rPr>
      <t>EOS
Limited stock available</t>
    </r>
  </si>
  <si>
    <t>T series network outdoor anti-ligature corner mount camera, 3MP @30fps, 2.8mm fixed lens, 940nm IR 10m, triple codec H.265/H.264/MJPEG with WiseStream II, 120dB WDR, Hallway View, Lens Distortion Correction, Digital Image Stabilization, Licence-free onboard Advanced Video Analytics: Tampering, Loitering, Directional detection, Defocus detection, Fog detection, Virtual line, Enter/Exit, Appear/Disappear, Audio detection, Face detection, Motion detection, Digital auto tracking, Sound classification, Shock detection, Audio In/Out/Built-in mic, 1 Input/1 Output, SD Card slot, PoE/12VDC, IP66, IK10+, IP6K9K</t>
  </si>
  <si>
    <t>2MP Cameras</t>
  </si>
  <si>
    <t>XNO-6123R</t>
  </si>
  <si>
    <t>2M AI IR Bullet</t>
  </si>
  <si>
    <t>2MP</t>
  </si>
  <si>
    <t>X series powered by Wisenet 7 AI network IR outdoor vandal bullet camera,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</si>
  <si>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XNO-6083R</t>
  </si>
  <si>
    <t>2MP AI IR Bullet</t>
  </si>
  <si>
    <t>X series powered by Wisenet 7 AI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</si>
  <si>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XNV-6123R</t>
  </si>
  <si>
    <t>2M AI IR outdoor Dome</t>
  </si>
  <si>
    <t>X series powered by Wisenet 7 AI network IR outdoor vandal dome camera,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</si>
  <si>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XNV-6083RZ</t>
  </si>
  <si>
    <t>2MP AI IR Vandal Dome</t>
  </si>
  <si>
    <t>X series powered by Wisenet 7 AI network IR vandal dome camera, Modular structure X PLUS, 2MP @120fps, 2.8 ~ 12mm motorized varifocal lens (4.3x), Colour 0.01 Lux (F1.4, 1/30sec, 30IRE), BW 0 Lux (IR LED on), IR viewable length: 30m(98.43ft) based on scene, Day &amp; Night (ICR), extremeWDR (150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</si>
  <si>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XNV-6083R</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</si>
  <si>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</si>
  <si>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XNV-6083Z</t>
  </si>
  <si>
    <t>2MP AI Vandal Dome</t>
  </si>
  <si>
    <t>X series powered by Wisenet 7 AI network non IR vandal dome camera, Modular structure X PLUS, 2MP @120fps, 2.8 ~ 12mm motorized varifocal lens (4.3x), Colour 0.01 Lux (F1.4, 1/30sec, 30IRE), BW 0.001 Lux, Day &amp; Night (ICR), extremeWDR (150 dB),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IP66/IP67/IP6K9K, NEMA4X, IK10+, Hard-coated dome bubble</t>
  </si>
  <si>
    <t>XND-6083RV</t>
  </si>
  <si>
    <t>2MP AI IR Dome</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</si>
  <si>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</si>
  <si>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XNB-6003</t>
  </si>
  <si>
    <t>2MP AI Box</t>
  </si>
  <si>
    <t>X series powered by Wisenet 7 AI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     ※ The lens is not included</t>
  </si>
  <si>
    <t>XNO-C6083R</t>
  </si>
  <si>
    <t>X series powered by Wisenet 7 AI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</si>
  <si>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XNV-C6083</t>
  </si>
  <si>
    <t>X series powered by Wisenet 7 AI network non IR vandal dome camera, Modular structure X PLUS, 2MP @60fps, 2.8 ~ 12mm motorized varifocal lens (4.3x), Colour 0.01 Lux (F1.4, 1/30sec, 30IRE), BW 0 Lux, Day &amp; Night (ICR), extremeWDR (150 dB), DIS with built-in Gyro sensor, WiseNRⅡ, WiseStreamⅢ, Analytics events based on AI engine (NPU) : Object detection (Person /Face/Vehicle – car, truck, bus, bicycle, motorcycle/Licence plate), IVA (Virtual line/Area, Enter/Exit, Loitering, Direction, Intrusion), Analytics events : Defocus detection, Motion detection, Tampering, Fog detection, Audio detection, Sound classification, Shock detection, Appear/Disappear, IP66/IP67, NEMA4X, IK10, Hard-coated dome bubble</t>
  </si>
  <si>
    <t>XNV-C6083R</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</si>
  <si>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</si>
  <si>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XND-C6083RV</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</si>
  <si>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IK08, PoE/12VDC, white skins included</t>
  </si>
  <si>
    <t>TNP-A6550RW</t>
  </si>
  <si>
    <t>2MP AI IR, Rugged PTZ</t>
  </si>
  <si>
    <t>T series powered by Wisenet 9, AI Rugged PTZ Postioning Camera, 2MP @ 30FPS resolution, 4.75mm~261.4mm(55x) autofocus lens, adaptive Wise IR (500m), extremeWDR 120dB, Day &amp; Night (ICR), H.265/H.264/MJPEG codec, DIS with built-in gyro sensor, Handover, AI-based WiseStream, WiseNR Ⅱ (using AI engine), Dynamic privacy mask, IVA events based on AI engine: Motion &amp; Object detection, Line crossing(Crossing/Direction), IVA area(Loitering/Intrusion/Enter/Exit/Appear/Disappear), Slip &amp; Fall, Classified object types: (Person/Face/Vehicle/License plate), Object attributes (Person: Gender/Top/Bottom clothing color/Bag, Face: Age/Gender/Mask/Glasses, Vehicle: type/color), BestShot, Analytics events (Tampering, Shock detection, Audio detection), Audio detection, Sound classification (with NW I/O box), AI object auto-tracking (Person/Vehicle) with target lock tracking, Secure element with FIPS 140-3 level3, Built-in microSD card slot (Up to 1TB), IP66/IP68, IK10 (except window), NEMA 4X, NEMA-TS 2(2.2.7.2-8, 2.2.8, 2.2.9), MIL-STD-810H ASTM B117, Operating temp: -50°C~+60°C (-58°F~+140°F), Wind load 258km/h (160mph), Power: HPoE IEEE802.3bt type4, Class8 (PoE injector not included), Metal shielded RJ-45, White.</t>
  </si>
  <si>
    <t>XNP-C6403RW</t>
  </si>
  <si>
    <t>2MP 40x IR AI PTZ with built-in wiper</t>
  </si>
  <si>
    <t>X series powered by Wisenet 7 AI network outdoor PTZ camera, 2MP @ 60fps, 40x Optical Zoom lens (4.25 ~170mm) (65.66º ~ 1.88º),60° Endless Pan range, 500°/sec Pan speed, Tilt: -20° ~ 90°, triple codec H.265/H.264/MJPEG with WiseStream II, Multiple streaming, extreme WDR (150dB), True Day &amp; Night (ICR),Viewable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Built-in wiper
* Alarm outputs, Audio detection, Sound classification(with NW I/O Box which can be purchased separately)</t>
  </si>
  <si>
    <t>XNP-C6403R</t>
  </si>
  <si>
    <t xml:space="preserve">2MP IR AI PTZ </t>
  </si>
  <si>
    <t>X series powered by Wisenet 7 AI network outdoor PTZ camera, 2MP @ 60fps, 40x Optical Zoom lens (4.25 ~170mm) (65.66º ~ 1.88º),60° Endless Pan range, 700°/sec Pan speed, Tilt: -20° ~ 90°, triple codec H.265/H.264/MJPEG with WiseStream II, Multiple streaming, extreme WDR (150dB), True Day &amp; Night (ICR),Viewable IR length 200m, 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</si>
  <si>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XNP-C6403</t>
  </si>
  <si>
    <t xml:space="preserve">2MP AI PTZ </t>
  </si>
  <si>
    <t>X series powered by Wisenet 7 AI network outdoor PTZ camera, 2MP @ 60fps, 40x Optical Zoom lens (4.25 ~170mm) (65.66º ~ 1.88º),60° Endless Pan range, 700°/sec Pan speed, Tilt: -20° ~ 90°, triple codec H.265/H.264/MJPEG with WiseStream II, Multiple streaming, extreme WDR (150dB), True Day &amp; Night (ICR),Analystics events based on AI engine, Defocust / Motion / Fog / Shock detection, Tampering, Virtual area, Classified object (Person/Face/Vehicle/License plate), Attributes (Vehicle type), Object auto tracking(Person/Vehicle), Target lock tracking, Digital Image Stabilization with Built-in Gyro sensor, 2x Micro SD/SDHC/SDXC slots up to 1TB, IP66, IK10, NEMA4X, NEMA-TS2, PoE+
* Alarm outputs, Audio detection, Sound classification(with NW I/O Box which can be purchased separately)</t>
  </si>
  <si>
    <t>PNO-A6081R</t>
  </si>
  <si>
    <t>P series network 2MP AI IR outdoor vandal bullet camera, 2MP @120fps, 4.38~9.33mm motorized varifocal lens (2.13x), triple codec H.265/H.264/MJPEG with WiseStream II, Multiple streaming, 120dB WDR, True Day &amp; Night (ICR), IR viewable length 40m, Classified object type : Person/Face/Vehicle/ 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IK10+, NEMA4X, PoE+/12VDC</t>
  </si>
  <si>
    <t>PNV-A6081R</t>
  </si>
  <si>
    <t>2MP AI IR Outdoor Vandal Dome</t>
  </si>
  <si>
    <t>P series network 2MP AI IR outdoor vandal dome camera, Modular structurre X PLUS, 2MP @120fps, 4.38~9.33mm motorized varifocal lens (2.13x), triple codec H.265/H.264/MJPEG with WiseStream 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IP66/IP67/ IP6K9K, IK10+, NEMA4X, PoE+/12VDC</t>
  </si>
  <si>
    <t>PND-A6081RV</t>
  </si>
  <si>
    <t>2MP AI IR Indoor Dome</t>
  </si>
  <si>
    <t>P series network 2MP AI IR indoor dome camera, Modular structurre X PLUS, 2MP @120fps, 4.38~9.33mm motorized varifocal lens (2.13x), triple codec H.265/H.264/MJPEG with WiseStream II, WiseStream III,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PoE+/12VDC</t>
  </si>
  <si>
    <t>PND-A6081RF</t>
  </si>
  <si>
    <t>2MP AI IR Flush Mount Indoor Dome</t>
  </si>
  <si>
    <t>P series network 2MP AI IR indoor flush mount dome camera, Modular structurre X PLUS, 2MP @120fps, 4.38~9.33mm motorized varifocal lens (2.13x), triple codec H.265/H.264/MJPEG with WiseStream II, WiseStream III,  Multiple streaming, 120dB WDR, Auto Day &amp; Night (ICR), IR viewable length 40m, Classified object type : Person/Face/Vehicle/License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IP52, IK10, Plenum rate, PoE+/12VDC</t>
  </si>
  <si>
    <t>QNO-C6083R</t>
  </si>
  <si>
    <t>Q series network IR outdoor vandal bullet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t>
  </si>
  <si>
    <t>QNV-C6083R</t>
  </si>
  <si>
    <t>Q series network IR outdoor vandal dome camera, 2MP @ 30fps, motorized vari-focal lens 3.2~10.2mm (H: 102.0°~32.2° / V: 54.2°~18.3°), triple codec H.265/H.264/MJPEG with Wisestream III (Based on AI engine), WiseNRⅡ(Based on AI engine), WDR 120dB, IR viewable length 40m (131.23ft), Motion Detection based on AI engine, Classified object type: Person/Vehicle (vehicle type: car/bus/truck/motorcycle/bicycle); IVA events based on AI engine: Virtual line (Crossing/Direction), Virtual area (Loitering/Intrusion/Enter/Exit/(Dis)Appear), *Audio: Selectable(mic in/line in), defocus detection, hallway View,  SD card, video analytics, USB for easy installation, open platform, IP66, IK10, PoE, Operating temperature -40°C~+55°C(-40°F ~ +131°F) white color. * Alarm I/O and audio is supported through an optional cable (SPP-C7400)</t>
  </si>
  <si>
    <t>PNV-A6081R-E1T</t>
  </si>
  <si>
    <t>2MP AI IR Outdoor Vandal Dome with 1TB SolidEDGE WAVE Recording Solution</t>
  </si>
  <si>
    <t>SolidEDGE is powerful 2MP AI camera with embedded 1TB Solid State Drive (SSD) storage, includes pre-installed Hanwha WAVE VMS with 1 Channel License, capable of recording up to 5 additional cameras for a total recording solution of 6 cameras (32Mbps total recording throughput). P series network IR outdoor vandal dome camera, Modular structure, 2MP @120fps, 4.38~9.33mm motorized varifocal lens (2.13x), triple codec H.265/H.264/MJPEG with WiseStream II, Multiple streaming, 120dB WDR, Auto Day &amp; Night (ICR), IR viewable length 40m, Motion detection, Hallway view, Bi-directional audio, IP66/IP67/ IP6K9K, IK10+, NEMA4X, PoE+/12VDC. NOTE: to record additional cameras, additional license needs to be purchased WAVE-PRO-XX.</t>
  </si>
  <si>
    <t>PNV-A6081R-E2T</t>
  </si>
  <si>
    <t>2MP AI IR Outdoor Vandal Dome with 2TB SolidEDGE WAVE Recording Solution</t>
  </si>
  <si>
    <t>SolidEDGE is powerful 2MP AI camera with embedded 2TB Solid State Drive (SSD) storage, includes pre-installed Hanwha WAVE VMS with 1 Channel License, capable of recording up to 5 additional cameras for a total recording solution of 6 cameras (32Mbps total recording throughput). P series network IR outdoor vandal dome camera, Modular structure, 2MP @120fps, 4.38~9.33mm motorized varifocal lens (2.13x), triple codec H.265/H.264/MJPEG with WiseStream II, Multiple streaming, 120dB WDR, Auto Day &amp; Night (ICR), IR viewable length 40m, Motion detection, Hallway view, Bi-directional audio, IP66/IP67/ IP6K9K, IK10+, NEMA4X, PoE+/12VDC. NOTE: to record additional cameras, additional license needs to be purchased WAVE-PRO-XX.</t>
  </si>
  <si>
    <t>XND-6081RF</t>
  </si>
  <si>
    <t>2MP IR Flush Mount Dome</t>
  </si>
  <si>
    <r>
      <rPr>
        <rFont val="Arial"/>
        <color theme="1"/>
        <sz val="12.0"/>
      </rPr>
      <t xml:space="preserve">NDAA Compliant
</t>
    </r>
    <r>
      <rPr>
        <rFont val="Arial"/>
        <color rgb="FFFF0000"/>
        <sz val="12.0"/>
      </rPr>
      <t>EOS
Limited stock available</t>
    </r>
  </si>
  <si>
    <t>X series powered by Wisenet 5 network IR flush mount dome camera, Modular structure X PLUS,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Plenum rate (UL2820), PoE/12VDC</t>
  </si>
  <si>
    <t>XNV-6081R</t>
  </si>
  <si>
    <t>2MP IR Outdoor Dome</t>
  </si>
  <si>
    <r>
      <rPr>
        <rFont val="Arial"/>
        <color theme="1"/>
        <sz val="12.0"/>
      </rPr>
      <t xml:space="preserve">NDAA Compliant
</t>
    </r>
    <r>
      <rPr>
        <rFont val="Arial"/>
        <color rgb="FFFF0000"/>
        <sz val="12.0"/>
      </rPr>
      <t>EOS
Limited stock available</t>
    </r>
  </si>
  <si>
    <t>X series powered by Wisenet 5 network IR outdoor vandal dome camera, Modular structure X PLUS, 2MP @60fps, 2.8 ~ 12.0mm motorized varifocal lens (4.3x) (119.5°~27.9°), triple codec H.265/H.264/MJPEG with WiseStream II, Multiple streaming, 150dB WDR, True Day &amp; Night (ICR), High Powered IR LEDs with IR viewable length 70m,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PoE/12VDC, optional 24VAC, white &amp; ivory colour skins included, optional black skin cover</t>
  </si>
  <si>
    <t>XNV-6081RE</t>
  </si>
  <si>
    <t>2MP IR Indoor Dome</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</si>
  <si>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</si>
  <si>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XND-6081REV</t>
  </si>
  <si>
    <t>X series powered by Wisenet 5 network IR indoor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t>
  </si>
  <si>
    <t>XNV-6081</t>
  </si>
  <si>
    <t>2MP Outdoor Dome</t>
  </si>
  <si>
    <r>
      <rPr>
        <rFont val="Arial"/>
        <color theme="1"/>
        <sz val="12.0"/>
      </rPr>
      <t xml:space="preserve">NDAA Compliant
</t>
    </r>
    <r>
      <rPr>
        <rFont val="Arial"/>
        <color rgb="FFFF0000"/>
        <sz val="12.0"/>
      </rPr>
      <t>EOS
Limited stock available</t>
    </r>
  </si>
  <si>
    <t>X series powered by Wisenet 5 network outdoor vandal dome camera, Modular structure X PLUS, 2MP @60fps, 2.8 ~ 12.0mm motorized varifocal lens (4.3x) (119.5°~27.9°),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PoE/12VDC, optional 24VAC, white &amp; ivory colour skins included, optional black skin cover</t>
  </si>
  <si>
    <t>XNB-6000</t>
  </si>
  <si>
    <t>2MP Box</t>
  </si>
  <si>
    <t>X series powered by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     ※ The lens is not included</t>
  </si>
  <si>
    <t>XNB-6001</t>
  </si>
  <si>
    <t>2MP Covert Main Module</t>
  </si>
  <si>
    <t>X series powered by Wisenet 5 remote head cam,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Compatible with following lens modules SLA-T2480, SLA-T2480V, SLA-T4680, SLA-T4680V, SLA-T1080F, SLA-T4680D, SLA-T4680DS, SLA-T4680DW (not included)     ※ The lens is not included</t>
  </si>
  <si>
    <t>XNB-6002</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</si>
  <si>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     ※ The lens is not included</t>
  </si>
  <si>
    <t>XNO-6120R</t>
  </si>
  <si>
    <t>2M 12X IR Bullet</t>
  </si>
  <si>
    <t>X series powered by Wisenet 5 network IR outdoor vandal bullet camera, 2MP @60fps, Full HD(1080p), 5.2 ~ 62.4mm optical zoom lens (12x) (54.58°~5.30°), triple codec H.265/H.264/MJPEG with WiseStream II, Multiple streaming, 150dB WDR, True Day &amp; Night (ICR), High Powered IR LEDs with IR viewable length 70m, Advanced Video Analytics and Sound Classification, Hallway View, Motion detection, Fog detection, HLC, Handover, Digital Image Stabilization with built-in Gyro sensor, Bi-directional audio and dual SD/SDHC/SDXC slot, USB port for easy installation, IP67, IK10, Nema 4X, PoE/12VDC/24VAC</t>
  </si>
  <si>
    <t>XNO-6085R</t>
  </si>
  <si>
    <t>eXtraLUX IR Bullet</t>
  </si>
  <si>
    <r>
      <rPr>
        <rFont val="Arial"/>
        <color theme="1"/>
        <sz val="12.0"/>
      </rPr>
      <t xml:space="preserve">NDAA Compliant
</t>
    </r>
    <r>
      <rPr>
        <rFont val="Arial"/>
        <color rgb="FFFF0000"/>
        <sz val="12.0"/>
      </rPr>
      <t>EOS
Limited stock available</t>
    </r>
  </si>
  <si>
    <t>X series powered by Wisenet 5 network IR outdoor vandal bullet camera, eXtraLUX features 1/2" sensor with F0.94 Lens, 2MP @60fps, 4.1 ~ 16.4mm motorized varifocal lens (optical 4x) (100°~26.2°),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with built-in Gyro Sensor, Bi-directional audio and dual SD/SDHC/SDXC slot, USB port for easy installation, IP67, IK10, Nema 4X, PoE/12VDC/24VAC</t>
  </si>
  <si>
    <t>XNO-6080R</t>
  </si>
  <si>
    <t>2MP IR Bullet</t>
  </si>
  <si>
    <t>X series powered by Wisenet 5 network IR outdoor vandal bullet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</si>
  <si>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XNO-L6080R</t>
  </si>
  <si>
    <t>X series powered by Wisenet 5 network IR outdoor vandal bullet camera, 2MP @60fps, Full HD(1080p), 3.2 ~ 10mm motorized varifocal lens (3.1x) (109°~33.2°), triple codec H.265/H.264/MJPEG with WiseStream II, Multiple streaming, 120dB WDR, True Day &amp; Night (ICR), IR viewable length 30m, Tampering, Defocus detection, Motion Detection, Fog detection, Hallway View, HLC, Digital Image Stabilization, single SD/SDHC/SDXC slot, USB port for easy installation, IP66, IK10, PoE</t>
  </si>
  <si>
    <t>XNO-6010R</t>
  </si>
  <si>
    <t>X series powered by Wisenet 5 network IR outdoor vandal bullet camera, 2MP @60fps, 2.4mm fixed lens (139°), triple codec H.265/H.264/MJPEG with WiseStream II, Multiple streaming, 150dB WDR, True Day &amp; Night (ICR), High Powered IR LEDs with IR viewable length 20m, Advanced Video Analytics and Sound Classification and Business Analytics, Hallway View, Motion detection, Fog detection, HLC, Handover, Digital Image Stabilization, Bi-directional audio and dual SD/SDHC/SDXC slot, USB port for easy installation, IP67, IK10, Nema 4X, PoE/12VDC</t>
  </si>
  <si>
    <t>XNO-6020R</t>
  </si>
  <si>
    <t>X series powered by Wisenet 5 network IR outdoor vandal bullet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</si>
  <si>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XND-6080</t>
  </si>
  <si>
    <t>2MP Indoor Dome</t>
  </si>
  <si>
    <t>X series powered by Wisenet 5 network indoor dome camera, 2MP @60fps, 2.8 ~ 12.0mm motorized varifocal lens (4.3x) (119.5°~27.9°), triple codec H.265/H.264/MJPEG with WiseStream II, Multiple streaming, 150dB WDR, True Day &amp; Night (ICR), Advanced Video Analytics and Sound Classification, Hallway View, Motion detection, Fog detection, HLC, Handover, Digital Image Stabilization, Bi-directional audio and dual microSD/SDHC/SDXC slot, USB port for easy installation, IK08, PoE/12VDC</t>
  </si>
  <si>
    <t>XND-6080V</t>
  </si>
  <si>
    <t>2MP Indoor Vandal Dome</t>
  </si>
  <si>
    <t>X series powered by Wisenet 5 network indoor vandal dome camera, 2MP @60fps, 2.8 ~ 12.0mm motorized varifocal lens (4.3x) (119.5°~27.9°), triple codec H.265/H.264/MJPEG with WiseStream II, Multiple streaming, 150dB WDR, True Day &amp; Night (ICR), Advanced Video Analytics and Sound Classification, Hallway View, Motion detection, Fog detection, HLC, Handover, Digital Image Stabilization, Bi-directional audio and dual microSD/SDHC/SDXC slot, USB port for easy installation, IK08, PoE/12VDC</t>
  </si>
  <si>
    <t>XND-6080R</t>
  </si>
  <si>
    <t>X series powered by Wisenet 5 network IR indoor dome camera, 2MP @60fps, 2.8 ~ 12.0mm motorized varifocal lens (4.3x) (119.5°~27.9°), triple codec H.265/H.264/MJPEG with WiseStream II, Multiple streaming, 150dB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</si>
  <si>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XND-6080RV</t>
  </si>
  <si>
    <t>2MP IR Indoor Vandal Dome</t>
  </si>
  <si>
    <t>X series powered by Wisenet 5 network IR indoor vandal dome camera, 2MP @60fps, 2.8 ~ 12.0mm motorized varifocal lens (4.3x) (119.5°~27.9°), triple codec H.265/H.264/MJPEG with WiseStream II, Multiple streaming, 150dB WDR, True Day &amp; Night (ICR), High Powered IR LEDs with IR viewable length 30m, Advanced Video Analytics and Sound Classification, Hallway View, Motion detection, Fog detection, HLC, Handover, Digital Image Stabilization, Bi-directional audio and dual microSD/SDHC/SDXC slot, USB port for easy installation, IK08, PoE/12VDC</t>
  </si>
  <si>
    <t>XND-L6080R</t>
  </si>
  <si>
    <t>X series powered by Wisenet 5 network IR indoor dome camera, 2MP @60fps, 3.2 ~ 10.0mm motorized varifocal lens (3.1x) (109.0°~33.2°), triple codec H.265/H.264/MJPEG with WiseStream II, Multiple streaming, 120dB WDR, True Day &amp; Night (ICR), IR viewable length 20m,  Tampering, Defocus detection, Motion Detection, Fog detection, Hallway View, HLC, Digital Image Stabilization, single SD/SDHC/SDXC slot, USB port for easy installation, IK08, PoE</t>
  </si>
  <si>
    <t>XND-6020R</t>
  </si>
  <si>
    <t>X series powered by Wisenet 5 network IR indoor dome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IK08, PoE/12VDC</t>
  </si>
  <si>
    <t>XND-6011F</t>
  </si>
  <si>
    <t xml:space="preserve">2MP Flush Mount </t>
  </si>
  <si>
    <t>X series powered by Wisenet 5 network flush mount dome camera, 2MP @60fps, 2.8mm fixed lens (112°), triple codec H.265/H.264/MJPEG with WiseStream II, Multiple streaming, 150dB WDR,  Electronic Day &amp; Night , Advanced Video Analytics and Sound Classification and Business Analytics, Hallway View, Motion detection, Fog detection, HLC, Handover, Digital Image Stabilization, Built-in Mic, 1-directional audio and SD/SDHC/SDXC slot, USB port for easy installation, PoE</t>
  </si>
  <si>
    <t>XND-6010</t>
  </si>
  <si>
    <t>X series powered by Wisenet 5 network indoor dome camera,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SD/SDHC/SDXC slot, IK08, PoE/12VDC</t>
  </si>
  <si>
    <t>XNV-6120R</t>
  </si>
  <si>
    <t>2M 12X IR outdoor Dome</t>
  </si>
  <si>
    <r>
      <rPr>
        <rFont val="Arial"/>
        <color theme="1"/>
        <sz val="12.0"/>
      </rPr>
      <t xml:space="preserve">NDAA Compliant
</t>
    </r>
    <r>
      <rPr>
        <rFont val="Arial"/>
        <color rgb="FFFF0000"/>
        <sz val="12.0"/>
      </rPr>
      <t>EOS
Limited stock available</t>
    </r>
  </si>
  <si>
    <t>X series powered by Wisenet 5 network IR outdoor vandal dome camera, 2MP @60fps, Full HD(1080p), 5.2 ~ 62.4mm optical zoom lens (12x) (54.58°~5.30°), triple codec H.265/H.264/MJPEG with WiseStream II, Multiple streaming, 150dB WDR, True Day &amp; Night (ICR), High Powered IR LEDs with IR viewable length 70m, Advanced Video Analytics and Sound Classification, Hallway View, Motion detection, Fog detection, HLC, Handover, Digital Image Stabilization with built-in Gyro Sensor, Bi-directional audio and dual microSD/SDHC/SDXC slot, USB port for easy installation, IP67, IK10, Nema 4X, PoE/12VDC/24VAC</t>
  </si>
  <si>
    <t>XNV-6080</t>
  </si>
  <si>
    <t>X series powered by Wisenet 5 network outdoor vandal dome camera, 2MP @60fps, 2.8 ~ 12.0mm motorized varifocal lens (4.3x) (119.5°~27.9°), triple codec H.265/H.264/MJPEG with WiseStream II, Multiple streaming, 150dB WDR, True Day &amp; Night (ICR), Advanced Video Analytics and Sound Classification, Hallway View, Motion detection, Fog detection, HLC, Handover, Digital Image Stabilization, Bi-directional audio and dual microSD/SDHC/SDXC slot, USB port for easy installation, IP67/IP66, IK10, Nema 4X, PoE/12VDC/24VAC</t>
  </si>
  <si>
    <t>XNV-6080R</t>
  </si>
  <si>
    <t>X series powered by Wisenet 5 network IR outdoor vandal dome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IP67/IP66, IK10, Nema 4X, PoE/12VDC/24VAC</t>
  </si>
  <si>
    <t>XNV-6080RSA</t>
  </si>
  <si>
    <t>2MP Stainless Steel IR Dome</t>
  </si>
  <si>
    <t>X series powered by Wisenet 5 network IR outdoor stainless steel vandal dome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IP66, IP6K9K, IK10+, Nema 4X, PoE/12VDC/24VAC</t>
  </si>
  <si>
    <t>XNV-6022R</t>
  </si>
  <si>
    <t>2MP Mobile Vandal Dome</t>
  </si>
  <si>
    <t>X series powered by Wisenet 5 network IR outdoor vandal dome camera, 2MP @60fps, 3.6mm fixed lens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</si>
  <si>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XNV-6022RM</t>
  </si>
  <si>
    <t>X series powered by Wisenet 5 network IR outdoor vandal dome camera, 2MP @60fps, 3.6mm fixed lens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to RJ45 is not included)</t>
  </si>
  <si>
    <t>XNV-6020R</t>
  </si>
  <si>
    <t>X series powered by Wisenet 5 network IR outdoor vandal dome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microSD/SDHC/SDXC slot, USB port for easy installation, IP67/IP66, IK10, PoE/12VDC</t>
  </si>
  <si>
    <t>XNV-6013M</t>
  </si>
  <si>
    <t>X series powered by Wisenet 5 network outdoor vandal dome camera, 2MP @60fps, 2.8mm fixed lens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This camera was designed to be mounted outside of the vehicle, M12 connector (M12 to RJ45 is not included)</t>
  </si>
  <si>
    <t>XNV-6012M</t>
  </si>
  <si>
    <t>X series powered by Wisenet 5 network outdoor vandal dome camera,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to RJ45 is not included)</t>
  </si>
  <si>
    <t>XNV-6012</t>
  </si>
  <si>
    <t>X series powered by Wisenet 5 network outdoor vandal dome camera,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</si>
  <si>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XNV-6011</t>
  </si>
  <si>
    <t>2MP Compact Vandal Dome</t>
  </si>
  <si>
    <t>X series powered by Wisenet 5 network outdoor compact vandal dome camera, 2MP @60fps, 2.8mm fixed lens (112°), triple codec H.265/H.264/MJPEG with WiseStream II, Multiple streaming, 150dB WDR,  Electronic Day &amp; Night , Advanced Video Analytics and Business Analytics, Hallway View, Motion detection, Fog detection, HLC, Handover, Digital Image Stabilization, SD/SDHC/SDXC slot, USB port for easy installation, IP66, IK10, Nema 4X, PoE</t>
  </si>
  <si>
    <t>XNV-6010</t>
  </si>
  <si>
    <t>X series powered by Wisenet 5 network outdoor vandal dome camera,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microSD/SDHC/SDXC slot, IP67/IP66, IK10, Nema 4X, PoE/12VDC</t>
  </si>
  <si>
    <t>XNP-6400RW</t>
  </si>
  <si>
    <t>2MP 40x IR Outdoor PTZ</t>
  </si>
  <si>
    <t>X series powered by Wisenet 7 network IR outdoor PTZ camera with built-in wiper, 2MP @60fps, 40X Optical Zoom Lens (4.25 ~ 170mm) (65.66º ~ 1.88º), 360° Endless Pan range, 500°/sec Pan speed, Tilt: -20° ~ 90°, triple codec H.265/H.264/MJPEG with WiseStream II, Multiple streaming, extreme WDR (150dB),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</si>
  <si>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XNP-6400R</t>
  </si>
  <si>
    <t>X series powered by Wisenet 7 network IR outdoor PTZ camera, 2MP @60fps, 40X Optical Zoom Lens (4.25 ~ 170mm) (65.66º ~ 1.88º), 360° Endless Pan range, 700°/sec Pan speed, Tilt: -20° ~ 90°, triple codec H.265/H.264/MJPEG with WiseStream II, Multiple streaming, extreme WDR (150dB),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</si>
  <si>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XNP-6400</t>
  </si>
  <si>
    <t>2MP 40x Outdoor PTZ</t>
  </si>
  <si>
    <t>X series powered by Wisenet 7 network outdoor PTZ camera, 2MP @60fps, 40X Optical Zoom Lens (4.25 ~ 170mm) (65.66º ~ 1.88º), 360° Endless Pan range, 700°/sec Pan speed, Tilt: -20° ~ 90°, triple codec H.265/H.264/MJPEG with WiseStream II, Multiple streaming, extreme WDR (150dB), True Day &amp; Night (ICR),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</si>
  <si>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XNP-6550RH</t>
  </si>
  <si>
    <t>2MP 55x IR PTZ</t>
  </si>
  <si>
    <t>X series powered by Wisenet 5 network outdoor PTZ camera, 2MP, Full HD(1080p) @ 60fps, 55X optical zoom lens (4.75mm ~ 261.4mm) (58.6º ~ 1.23º), Pan: 360° endless. Tilt: -5°~ 185°, triple codec H.265/H.264/MJPEG with WiseStream II technology, 120dB WDR, built-in IR 1640ft (500m),  USB port for easy installation, advanced video analytics and sound classification, Day &amp; Night (ICR), dual SD card, HLC, defog (optical) DIS(Gyro),24VAC/HPoE, IP66/IK10, -58°F ~ +131°F W/ 24VAC power supply</t>
  </si>
  <si>
    <t>XNP-6120H</t>
  </si>
  <si>
    <t>2MP 12X PTZ</t>
  </si>
  <si>
    <t>X series powered by Wisenet 5 network outdoor PTZ camera, 2MP @ 60fps, Full HD(1080p), 12X optical zoom lens (5.2mm ~62.4mm) (54.58º ~ 5.3º), 360° Endless Pan range, Tilt: -5°~ 185°, triple codec H.265/H.264/MJPEG with WiseStream II, Multiple streaming, 150dB WDR, True Day &amp; Night (ICR), Advanced Video Analytics and Sound Vlassification, Motion detection, Fog detection, Auto Tracking, HLC, Digital Image Stabilization with Built-in Gyro sensor, Bi-directional audio and dual SD/SDHC/SDXC slot, USB port for easy installation, IP66, IK10, PoE/12VDC</t>
  </si>
  <si>
    <t>XNP-6040H</t>
  </si>
  <si>
    <t>2MP 4.3X PTZ</t>
  </si>
  <si>
    <t>X series powered by Wisenet 5 network outdoor PTZ camera, 2MP @ 60fps, Full HD(1080p), 4.3X optical zoom lens (2.8mm ~12mm) (119.5º ~ 27.9º), Pan: 0°~350°. Tilt: 0°~ 90°, triple codec H.265/H.264/MJPEG with WiseStream II, Multiple streaming, 150dB WDR, True Day &amp; Night (ICR), Advanced Video Analytics and Sound Vlassification, Motion detection, Fog detection, Defocus detection, Auto Tracking, HLC, Digital Image Stabilization with Built-in Gyro sensor, Bi-directional audio and SD/SDHC/SDXC slot, USB port for easy installation, IP66, IK10, PoE/12VDC</t>
  </si>
  <si>
    <t>XNZ-6320A</t>
  </si>
  <si>
    <t>2MP 32x Zoom Box</t>
  </si>
  <si>
    <t>Zoom Box</t>
  </si>
  <si>
    <t>X series powered by Wisenet 5 network zoom box camera, 2MP @60fps, 4.44 ~ 142.6mm optical zoom lens (32x), H.265/H.264/MJPEG with WiseStream II, Multiple streaming, 120dB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Bi-directional audio and Micro SD/SDHC/SDXC 2 slot 512GB, USB port for easy installation, PoE/12VDC</t>
  </si>
  <si>
    <t>XNZ-L6320A</t>
  </si>
  <si>
    <t>X series powered by Wisenet 5 network zoom box camera, 2MP @60fps, 4.44 ~ 142.6mm optical zoom lens (32x), H.265/H.264/MJPEG with WiseStream II, Multiple streaming, 120dB WDR, True Day &amp; Night (ICR), Defocus detection, Directional detection, Fog detection, Face detection, Motion detection, Appear/Disappear, Enter/Exit, Loitering, Tampering, Virtual line, Audio detection, Sound classification, HLC, Digital Image Stabilization, Bi-directional audio and  Micro SD/SDHC/SDXC 1 slot 256GB, PoE/12VDC</t>
  </si>
  <si>
    <t>QNO-6082R</t>
  </si>
  <si>
    <t>Q series network IR outdoor vandal bullet camera, 2MP @30fps, 3.2 ~ 10.0mm motorized varifocal lens (3.1x) (109.0°~33.2°), triple codec H.265/H.264/MJPEG with WiseStream II, Multiple streaming, 120dB WDR, True Day &amp; Night (ICR), IR viewable length 30m, Motion detection, Tampering, Defocus detection, Hallway View, Bi-directional audio and microSD/SDHC/SDXC slot, LDC support (Lens Distortion Correction), IP66, IK10, PoE/12VDC</t>
  </si>
  <si>
    <t>QNO-6082R1</t>
  </si>
  <si>
    <t>Q series network IR outdoor vandal bullet camera (No Audio), 2MP @30fps, 3.2 ~ 10.0mm motorized varifocal lens (3.1x), H.265/H.264/MJPEG, Multiple streaming, 120dB WDR, Day &amp; Night (auto ICR), IR viewable length 30m, Motion detection, Tampering, Defocus detection, Hallway View (90°/270°),  micro SD/SDHC/SDXC slot, LDC support (Lens Distortion Correction), IP66, IK10, PoE/12VDC</t>
  </si>
  <si>
    <t>QNO-6022R</t>
  </si>
  <si>
    <t>Q series network IR outdoor vandal bullet camera, 2MP @30fps, 4mm fixed lens (87.6°),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</si>
  <si>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QNO-6022R1</t>
  </si>
  <si>
    <t>Q series network IR outdoor vandal bullet camera (No Audio), 2MP @30fps, 4mm fixed lens, triple codec H.265/H.264/MJPEG with WiseStream, Multiple streaming, 120dB WDR, True Day &amp; Night (ICR), IR viewable length 25m, Motion detection, Tampering, Defocus detection, Hallway View (90°/270°),  micro SD/SDHC/SDXC slot, LDC support (Lens Distortion Correction), IP66, IK10, PoE/12VDC</t>
  </si>
  <si>
    <t>QNO-6012R</t>
  </si>
  <si>
    <t>Q series network IR outdoor vandal bullet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</si>
  <si>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QNO-6012R1</t>
  </si>
  <si>
    <t>Q series network IR outdoor vandal bullet camera (No Audio), 2MP @30fps, 2.8mm fixed lens, triple codec H.265/H.264/MJPEG with WiseStream, Multiple streaming, 120dB WDR, True Day &amp; Night (ICR), IR viewable length 20m, Motion detection, Tampering, Defocus detection, Hallway View (90°/270°), microSD/SDHC/SDXC slot, LDC support (Lens Distortion Correction), IP66, IK10, PoE/12VDC</t>
  </si>
  <si>
    <t>QND-6082R</t>
  </si>
  <si>
    <t>2MP IR Dome</t>
  </si>
  <si>
    <t>Q series network IR indoor dome camera, 2MP @30fps, 3.2 ~ 10.0mm motorized varifocal lens (3.1x) (109.0°~33.2°), triple codec H.265/H.264/MJPEG with WiseStream II, Multiple streaming, 120dB WDR, True Day &amp; Night (ICR), IR viewable length 20m, Motion detection, Tampering, Defocus detection, Hallway View, Bi-directional audio and microSD/SDHC/SDXC slot, LDC support (Lens Distortion Correction),  PoE/12VDC</t>
  </si>
  <si>
    <t>QND-6082R1</t>
  </si>
  <si>
    <t>Q series network IR indoor dome camera (No Audio), 2MP @30fps, 3.2 ~ 10.0mm motorized varifocal lens (3.1x), H.265/H.264/MJPEG, Multiple streaming, 120dB WDR, Day &amp; Night (auto ICR), IR viewable length 20m, Motion detection, Tampering, Defocus detection, Hallway View(90°/270°), microSD/SDHC/SDXC slot, LDC support (Lens Distortion Correction),  PoE/12VDC</t>
  </si>
  <si>
    <t>QND-6022R</t>
  </si>
  <si>
    <t>Q series network IR indoor dome camera, 2MP @30fps, 4mm fixed lens (87.6°), triple codec H.265/H.264/MJPEG with WiseStream, Multiple streaming, 120dB WDR, True Day &amp; Night (ICR), IR viewable length 20m, Motion detection, Tampering, Defocus detection, Hallway View, 1-way audio and microSD/SDHC/SDXC slot, LDC support (Lens Distortion Correction), PoE/12VDC</t>
  </si>
  <si>
    <t>QND-6022R1</t>
  </si>
  <si>
    <t>Q series network IR indoor dome camera(No Audio), 2MP @30fps, 4mm fixed lens, H.265/H.264/ MJPEG, Multiple streaming, 120dB WDR, Day &amp; Night (auto ICR), IR viewable length 20m, Motion detection, Tampering, Defocus detection, Hallway View(90°/270°), microSD/ SDHC/ SDXC slot, LDC support (Lens Distortion Correction), PoE/12VDC</t>
  </si>
  <si>
    <t>QND-6012R</t>
  </si>
  <si>
    <t>Q series network IR indoor dome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PoE/12VDC</t>
  </si>
  <si>
    <t>QND-6012R1</t>
  </si>
  <si>
    <t>Q series network IR indoor dome camera (No Audio), 2MP @30fps, 2.8mm fixed lens , H.265/H.264/ MJPEG with WiseStream, Multiple streaming, 120dB WDR, Day &amp; Night (auto ICR), IR viewable length 20m, Motion detection, Tampering, Defocus detection, Hallway View(90°/270°),  microSD/ SDHC/SDXC slot, LDC support (Lens Distortion Correction), PoE/12VDC</t>
  </si>
  <si>
    <t>QND-6021</t>
  </si>
  <si>
    <t>2MP Mini Dome</t>
  </si>
  <si>
    <t>Q series network indoor mini dome camera, 2MP @30fps, 4.0mm fixed lens (87.6°), triple codec H.265/H.264/MJPEG with WiseStream II, Multiple streaming, 120dB WDR, Auto Day &amp; Night (ICR), Business Analytics (People counting), Motion detection, Tampering, Defocus detection, Hallway View,  microSD/SDHC/SDXC slot, LDC support (Lens Distortion Correction), IP42, IK08, PoE, Compact size 99 x 56mm/145gr</t>
  </si>
  <si>
    <t>QND-6011</t>
  </si>
  <si>
    <t>Q series network indoor mini dome camera, 2MP @30fps, 2.8mm fixed lens (113.74°), triple codec H.265/H.264/MJPEG with WiseStream II, Multiple streaming, 120dB WDR, Auto Day &amp; Night (ICR), Business Analytics (People counting), Motion detection, Tampering, Defocus detection, Hallway View,  microSD/SDHC/SDXC slot, LDC support (Lens Distortion Correction), IP42, IK08, PoE, Compact size 99 x 56mm/145gr</t>
  </si>
  <si>
    <t>QNV-6082R</t>
  </si>
  <si>
    <t>2MP IR Vandal Dome</t>
  </si>
  <si>
    <t>Q series network IR outdoor vandal dome camera, 2MP @30fps, 3.2 ~ 10.0mm motorized varifocal lens (3.1x) (109.0°~33.2°), triple codec H.265/H.264/MJPEG with WiseStream II, Multiple streaming, 120dB WDR, True Day &amp; Night (ICR), IR viewable length 30m, Motion detection, Tampering, Defocus detection, Hallway View, Bi-deirectional audio and microSD/SDHC/SDXC slot, LDC support (Lens Distortion Correction), IP66, IK10, PoE/12VDC</t>
  </si>
  <si>
    <t>QNV-6082R1</t>
  </si>
  <si>
    <t>Q series network IR outdoor vandal dome camera (No Audio), 2MP @30fps, 3.2 ~ 10.0mm motorized varifocal lens (3.1x), H.265/H.264/MJPEG, Multiple streaming, 120dB WDR, Day &amp; Night (Auto ICR), IR viewable length 30m, Motion detection, Tampering, Defocus detection, Hallway View(90°/270°),  micro SD/SDHC/SDXC slot, LDC support (Lens Distortion Correction), IP66, IK10, PoE/12VDC</t>
  </si>
  <si>
    <t>QNV-6023R</t>
  </si>
  <si>
    <t>2MP Mobile IR Vandal Dome</t>
  </si>
  <si>
    <t>Q series network IR outdoor vandal Dome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</si>
  <si>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QNV-6022R</t>
  </si>
  <si>
    <t>Q series network outdoor vandal dome camera, 2MP @30fps, 4mm fixed lens (87.6°),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</si>
  <si>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QNV-6022R1</t>
  </si>
  <si>
    <t>Q series network outdoor vandal dome camera (No Audio), 2MP @30fps, 4mm fixed lens, H.265/H.264/MJPEG, Multiple streaming, 120dB WDR, Day &amp; Night (Auto ICR), IR viewable length 25m, Motion detection, Tampering, Defocus detection, Hallway View (90°/270°),  micro SD/SDHC/SDXC slot, LDC support (Lens Distortion Correction), IP66, IK10, PoE/12VDC</t>
  </si>
  <si>
    <t>QNV-6012R</t>
  </si>
  <si>
    <t>Q series network IR outdoor vandal dome camera, 2MP @30fps, 2.8mm fixed lens (113.74°),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</si>
  <si>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QNV-6012R1</t>
  </si>
  <si>
    <t>Q series network IR outdoor vandal dome camera (No Audio), 2MP @30fps, 2.8mm fixed lens, H.265/H.264/MJPEG,Multiple streaming, 120dB WDR, Day &amp; Night (auto ICR), IR viewable length 20m, Motion detection, Tampering, Defocus detection, Hallway View (90°/270°), micro SD/SDHC/SDXC slot, LDC support (Lens Distortion Correction), IP66, IK10, PoE/12VDC</t>
  </si>
  <si>
    <t>QNV-6024RM</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</si>
  <si>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</si>
  <si>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QNP-6320</t>
  </si>
  <si>
    <t>2MP 32x PTZ</t>
  </si>
  <si>
    <t>Q series network indoor PTZ camera, 2MP @30fps, Full HD(1080p), 32X Optical Zoom Lens (4.44 ~ 142.6mm) (64.66º ~ 2.29º), 360° Endless Pan range, 700°/sec Pan speed, triple codec H.265/H.264/MJPEG with WiseStream II,  Multiple streaming, 120dB WDR, True Day &amp; Night (ICR), Directional detection, Motion detection, Enter/Exit, Tampering, Virtual line, Audio
detection, Digital Image Stabilization with Built-in Gyro sensor, Bi-directional audio and SD/SDHC/SDXC slot, PoE+</t>
  </si>
  <si>
    <t>QNP-6320R</t>
  </si>
  <si>
    <t>2MP 32x IR PTZ</t>
  </si>
  <si>
    <t>Q series network IR outdoor PTZ camera, 2MP @60fps, 32X Optical Zoom Lens (4.44 ~ 142.6mm) (64.66º ~ 2.29º), 360° Endless Pan range, 700/sec Pan speed, Tilt: -20° ~ 90°, triple codec H.265/H.264/MJPEG with WiseStream II, Multiple streaming, 120dB WDR, True Day &amp; Night (ICR), IR viewable length 100m (Wise IR),Motion detection, Tampering detection, Defocus detection,  Digital Image Stabilization with Built-in Gyro sensor, Bi-directional audio and dual SD/SDHC/SDXC slot, IP66, IK10, PoE+, NEMA4X</t>
  </si>
  <si>
    <t>QNP-6320H</t>
  </si>
  <si>
    <t>Q series network outdoor PTZ camera, 2MP @30fps, Full HD(1080p), 32X Optical Zoom Lens (4.44 ~ 142.6mm), 360° Endless Pan range, 700°/sec Pan speed, triple codec H.265/H.264/MJPEG with WiseStream II,  Multiple streaming, 120dB WDR, True Day &amp; Night (ICR), Directional detection, Motion detection, Enter/Exit, Tampering, Virtual line Audio detection (with NW I/O Box), Digital Image Stabilization with Built-in Gyro sensor and SD/SDHC/SDXC slot, IP66, IK10, PoE+</t>
  </si>
  <si>
    <t>QNP-6250</t>
  </si>
  <si>
    <t>2MP 25x PTZ</t>
  </si>
  <si>
    <t>Q series network indoor PTZ camera, 2MP @30fps, Full HD(1080p), 25X Optical Zoom Lens (4.44~111mm) (64.66º ~ 2.99º), 360° Endless Pan range, 700°/sec Pan speed, triple codec H.265/H.264/MJPEG with WiseStream II,  Multiple streaming, 120dB WDR, True Day &amp; Night (ICR), Directional detection, Motion detection, Enter/Exit, Tampering, Virtual line, Audio
detection, Digital Image Stabilization with Built-in Gyro sensor, Bi-directional audio and SD/SDHC/SDXC slot, PoE+</t>
  </si>
  <si>
    <t>QNP-6250R</t>
  </si>
  <si>
    <t>2MP 25x IR PTZ</t>
  </si>
  <si>
    <t>Q series network IR outdoor PTZ camera, 2MP @30fps, 25X Optical Zoom Lens (4.44 ~ 142.6mm) (61.8º ~ 3.08º), 360° Endless Pan range, 400°/sec Pan speed, Tilt: -20° ~ 90°, triple codec H.265/H.264/MJPEG with WiseStream II, Multiple streaming, 120dB WDR, True Day &amp; Night (ICR), IR viewable length 100m (Wise IR),Motion detection, Tampering detection, Defocus detection,  Digital Image Stabilization with Built-in Gyro sensor, Bi-directional audio and dual SD/SDHC/SDXC slot, IP66, IK10, PoE+, NEMA4X</t>
  </si>
  <si>
    <t>QNP-6250H</t>
  </si>
  <si>
    <t>Q series network outdoor PTZ camera, 2MP @30fps, Full HD(1080p), 25X Optical Zoom Lens (4.44 ~ 111mm), 360° Endless Pan range, 700°/sec Pan speed, triple codec H.265/H.264/MJPEG with WiseStream II,  Multiple streaming, 120dB WDR, True Day &amp; Night (ICR), Directional detection, Motion detection, Enter/Exit, Tampering, Virtual line Audio detection (with NW I/O Box), Digital Image Stabilization with Built-in Gyro sensor and SD/SDHC/SDXC slot, IP66, IK10, PoE+</t>
  </si>
  <si>
    <t>QNP-6320HS</t>
  </si>
  <si>
    <t>2MP 32x Stainless steel PTZ</t>
  </si>
  <si>
    <t xml:space="preserve">NDAA compliant 
</t>
  </si>
  <si>
    <t>Q series network stainless steel PTZ camera, 2MP @ 30fps, Full HD (1080p), 32X optical zoom lens (4.44mm ~142.6mm), 360° Endless Pan range, 700°/sec Pan speed, H.265/H.264/MJPEG with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t>
  </si>
  <si>
    <t>XNB-H6461H</t>
  </si>
  <si>
    <t>2MP Pinhole Camera with 4.6mm lens in Height Strip enclosure</t>
  </si>
  <si>
    <t>X series powered by Wisenet 5 remote head cam, 2MP @60fps, 4.6mm fixed lens (73°),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height strip enclosure</t>
  </si>
  <si>
    <t>TID-600R</t>
  </si>
  <si>
    <t>2MP Intercom</t>
  </si>
  <si>
    <t>Intercom</t>
  </si>
  <si>
    <t>T series network Intercom, 2MP@60fps, 1.6mm fixed lens, IR 5m, True Day &amp; Night (ICR), backlit call button, option for touchless call, built-in mic and speaker, echo cancellation and noise reduction, corridor mode, camera handover, SIP 2.0 support for integration with VoIP systems, H.265/H.264/MJPEG with WiseStream II, Open Platform, Licence-free onboard Advanced Video Analytics: Directional detection, Motion detection, Appear/Disappear, Enter/Exit, Loitering, Tampering, Virtual line, Audio detection, Shock detection, Sound classification, 1 Micro SD card slot, 2 Inputs/1 Output/1 Relay, IP65, IK08, NEMA4X, Safety(UL), EMC(FCC, CE)</t>
  </si>
  <si>
    <t>TNU-6321</t>
  </si>
  <si>
    <t>2MP 32x Positioning</t>
  </si>
  <si>
    <t>Positioning</t>
  </si>
  <si>
    <t>T series 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</si>
  <si>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TNB-6030</t>
  </si>
  <si>
    <t>PVM Camera</t>
  </si>
  <si>
    <t>T series PVM camera powered by Wisenet 5, 1080p (1920x1080), micro HDMI output, 16:9 aspect ratio, face detection display for visual deterrent, customizable text overlay, 4.6mm fixed lens(73.8°H), 150dB WDR, H.265/H.264/MJPEG, WiseStream II compression technology, micro SD/SDHC/SDXC, bi-directional audio, hallway view mode</t>
  </si>
  <si>
    <t>ANE-L6012R</t>
  </si>
  <si>
    <t>2MP Turret Camera</t>
  </si>
  <si>
    <t>Wisenet A Series turret camera, 2MP @ 30 FPS, 3mm fixed focal lens, FoV H: 107.7° / V: 59.0°, WiseStream II, triple codec (H.265/H.264/MJPEG), 120dB WDR, IR LEDs 20m(65.62ft), day &amp; night (ICR), virtual area (intrusion/enter/exit), virtual Line (crossing/ direction), motion detection, tampering, hallway view, SD card, IP66, PoE, white.</t>
  </si>
  <si>
    <t>ANO-L6012R</t>
  </si>
  <si>
    <t>A Series bullet camera, 2MP @ 30 FPS, 2.8mm fixed focal lens, FoV H: 113.7° / V: 61.5°, WiseStream II, triple codec (H.265/H.264/MJPEG), 120dB WDR, IR LEDs 30m(98.43ft), day &amp; night (ICR), virtual area (intrusion/enter/exit), virtual Line (crossing/ direction), motion detection, tampering, hallway view, SD card, IP66, PoE, white.</t>
  </si>
  <si>
    <t>ANO-L6022R</t>
  </si>
  <si>
    <t>A Series bullet camera, 2MP @ 30 FPS, 4mm fixed focal lens, FoV H: 84.3° / V: 45.6° WiseStream II, triple codec (H.265/H.264/MJPEG), 120dB WDR, IR LEDs 30m(98.43ft), day &amp; night (ICR), virtual area (intrusion/enter/exit), virtual line (crossing/ direction), motion detection, tampering, hallway view, SD card, IP66, PoE, white.</t>
  </si>
  <si>
    <t>ANO-L6082R</t>
  </si>
  <si>
    <t>A Series bullet camera, 2MP @30FPS, motorized varifocal lens 3.1x (3.3~10.3mm)  (105.2°~ 30.6°), WiseStream II, triple codec (H.265/H.264/MJPEG), 120dB WDR, IR LEDs 30m(98.43ft), day &amp; night (ICR), virtual area (intrusion/enter/exit), virtual line (crossing/ direction), motion detection, tampering, hallway view, SD card, IP66, PoE, white.</t>
  </si>
  <si>
    <t>ANV-L6012R</t>
  </si>
  <si>
    <t>A Series outdoor vandal dome camera, 2MP @ 30 FPS, 2.8mm fixed focal lens, FoV H: 113.7°/ V: 61.5°,    WiseStream II, triple codec (H.265/H.264/MJPEG),120dB WDR, IR LEDs 30m(98.43ft), day &amp; night (ICR),  virtual area (intrusion/enter/exit), virtual line (crossing/ direction), motion detection, tampering, hallway view, SD card, IP66, IK10, PoE, white.</t>
  </si>
  <si>
    <t>ANV-L6023R</t>
  </si>
  <si>
    <t>A Series outdoor vandal mini dome camera, 2MP @ 30 FPS, 3.6mm fixed focal lens, FoV H: 94.8°/ V: 49.3°,  WiseStream II, triple codec (H.265/H.264/MJPEG) , 120dB WDR, IR LEDs 15m(49.21ft) , day &amp; night (ICR),  virtual area (intrusion/enter/exit), virtual line (crossing/ direction), motion detection, tampering, hallway view, SD card, IP66, PoE, white.</t>
  </si>
  <si>
    <t>ANV-L6082R</t>
  </si>
  <si>
    <t>A Series outdoor vandal dome camera, 2MP @ 30fps, motorized vari-focal lens 3.1x (3.3~10.3mm) (105.2°~ 30.6°), WiseStream II, triple codec (H.265/H.264/MJPEG),120dB WDR, IR LEDs 30m(98.43ft), day &amp; night (ICR),  virtual area (intrusion/enter/exit), virtual line (crossing/ direction), motion detection, tampering, hallway view, SD card, IP66, IK10, PoE, white.</t>
  </si>
  <si>
    <t>LNO-6072R</t>
  </si>
  <si>
    <t>L Series</t>
  </si>
  <si>
    <r>
      <rPr>
        <rFont val="Arial"/>
        <color theme="1"/>
        <sz val="12.0"/>
      </rPr>
      <t xml:space="preserve">NDAA compliant
</t>
    </r>
    <r>
      <rPr>
        <rFont val="Arial"/>
        <color rgb="FFFF0000"/>
        <sz val="12.0"/>
      </rPr>
      <t>EOS
Limited stock available</t>
    </r>
  </si>
  <si>
    <t>L series network IR outdoor vandal bullet camera, 2MP @30fps, 3.2 ~ 10.0mm varifocal lens (3.1x) (101.6°~ 31.3°), H.264/MJPEG with WiseStream II, Multiple streaming, 120dB WDR, Auto Day &amp; Night (ICR), IR viewable length 30m, Motion detection, Tampering, Hallway View, microSD/SDHC slot, LDC support (Lens Distortion Correction), IP66, PoE</t>
  </si>
  <si>
    <t>Explosion-proof Cameras</t>
  </si>
  <si>
    <t>TNO-C8083E</t>
  </si>
  <si>
    <t>5MP AI Compact Explosion-proof Camera</t>
  </si>
  <si>
    <t>5MP AI Compact Explosion-proof Camera with SUS316L stainless steel construction up to 30fps@5MP resolution with 1/2.8" 5MP CMOS sensor, 3.2x motorized vari-focal lens, 1/2” cable gland, H.264/H.265 &amp; MJPEG codecs, Digital Noise Reduction SSNRⅤ, WDR 120db, Electronic Shutter Min ~ Max / Anti flicker (1/5~1/12,000sec), Video Rotation Flip, Mirror, Hallway view(90'/270'), Analytics Classified object type: Person/Vehicle, Attributes: Vehicle, Support DetectionShot, Analytics events based on AI engine, Motion detection, Object detection, Virtual line(Crossing/Direction), Virtual area (Loitering/Intrusion/Enter/Exit) Analytics events - Defocus, Business Intelligence Based on AI engine: People/Vehicle counting, Queue management, Heatmap, WiseStreamⅢ(Based on AI engine), Unicast(20 users) / Multicast (Up to 5profiles), ONVIF Profile S/T/M, SUNAPI(HTTP API), Operating Temperature / Humidity -30°C~+55°C(-22°F ~ +131°F) / 0~95% RH(non-condensing), Certification CE, KC, IP66, IK10,ATEX,II 2 G Ex db IIC T6 Gb II 2 D Ex tb IIIC T80°C Db, IECEx, Ex db IIC T6 Gb, Ex tb IIIC T80°C Db</t>
  </si>
  <si>
    <t>TNU-6324ER</t>
  </si>
  <si>
    <t>Explosion Proof Stainless Steel Bullet Camera with Built-in Wiper and IR 200m</t>
  </si>
  <si>
    <t>Explosion Proof Stainless Steel 316L Bullet Camera with Built-in Wiper and IR 200m, 2MP@60fps, 4.44 ~ 142.6mm (32X) zoom lens, 120dB WDR, Auto Day &amp; Night (ICR), WiseStream II, 360° endless pan / 180° tilt, 300 presets, Swing/Group/Tour/Auto-run, Defocus detection, Directional detection, Fog detection, Face detection, Appear/Disappear, Enter/Exit, Loitering, Tampering, Virtual line, Audio detection, Digital Image Stabilization, ONVIF S/G/T, 1 Input/1 Output, 24VAC, IP67, IK10, IECEx, ATEX, KCs, KC, CE</t>
  </si>
  <si>
    <t>TNU-6324E</t>
  </si>
  <si>
    <t>Explosion Proof Stainless Steel Positioning Bullet Camera with Built-in Wiper</t>
  </si>
  <si>
    <t>Explosion Proof Stainless Steel 316L Positioning Bullet Camera with Built-in Wiper, 360° Endless Pan / 180° Tilt, 2MP@60fps, 4.44 ~ 142.6mm (32X) Zoom Lens, 120dB WDR, Auto Day &amp; Night (ICR), WiseStream II, 300 Presets, Swing/Group/Tour/Auto-run,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</si>
  <si>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</si>
  <si>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</si>
  <si>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</si>
  <si>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t>
  </si>
  <si>
    <t>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</si>
  <si>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</si>
  <si>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</si>
  <si>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</si>
  <si>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TNU-6320E</t>
  </si>
  <si>
    <t>2MP 32x Positioning Explosion-Proof</t>
  </si>
  <si>
    <t>EOS
Limited stock available</t>
  </si>
  <si>
    <t>Explosion Proof Zoom Camera, 2MP @60fps, 4.44 ~ 142.6mm 32x optical zoom lens (62.8º ~ 2.23º), H.264/MJPEG with WiseStream, Multiple streaming, 120dB WDR, Auto Day &amp; Night (ICR), Face detection, Tampering detection, Motion detection, Digital Image Stabilization, ONVIF S, cLCus C1/D1 certification, CE2460 EX II 2 GD Ex d IIC T6 Gb IP67 Ex tb IIIC T80°C Db, IP67/IK10, 24VAC, Stainless 316L, Built-in Wiper</t>
  </si>
  <si>
    <t>Thermal Cameras</t>
  </si>
  <si>
    <t>TNO-C3030TRA</t>
  </si>
  <si>
    <t>QVGA Radiometric AI Thermal Bullet</t>
  </si>
  <si>
    <t>QVGA</t>
  </si>
  <si>
    <t>T series network Radiometric compact bullet camera, 384 x 288 (uncooled);＜30mK (NETD), Max 768 x 576 @ 30fps resolution support, 9.7mm fixed focal lens (FoV: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 This product is subject to the Thermal agreement.</t>
  </si>
  <si>
    <t>TNO-C3020TRA</t>
  </si>
  <si>
    <t>T series network Radiometric compact bullet camera, 384 x 288 (uncooled);＜30mK (NETD), Max 768 x 576 @ 30fps resolution support, 6.6mm fixed focal lens (FoV: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color.This product is subject to the Thermal agreement.</t>
  </si>
  <si>
    <t>TNO-C3010TRA</t>
  </si>
  <si>
    <t>T series network Radiometric compact bullet camera, 384 x 288 (uncooled);＜30mK (NETD), Max 768 x 576 @ 30fps resolution support, 4.4mm fixed focal lens (FoV: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 This product is subject to the Thermal agreement.</t>
  </si>
  <si>
    <t>TNO-C3032TRA</t>
  </si>
  <si>
    <t>QVGA Radiometric AI Thermal Bullet (Lower Frame Rate)</t>
  </si>
  <si>
    <t>T series network Radiometric compact bullet camera, 384 x 288 (uncooled);＜30mK (NETD), Max 768 x 576 @ 8fps resolution support, 9.7mm fixed focal lens (FoV: 37.9°),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</si>
  <si>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TNO-C3022TRA</t>
  </si>
  <si>
    <t>T series network Radiometric compact bullet camera, 384 x 288 (uncooled);＜30mK (NETD), Max 768 x 576 @ 8fps resolution support, 6.6mm fixed focal lens (FoV: 60.0°),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</si>
  <si>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TNO-C3012TRA</t>
  </si>
  <si>
    <t>T series network Radiometric compact bullet camera, 384 x 288 (uncooled);＜30mK (NETD), Max 768 x 576 @ 8fps resolution support, 4.4mm fixed focal lens (FoV: 90.0°), Triple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Radiometrics: whole FoV area or up 10 user programmable polygonal ROIs, temperature detection range from -40°C to 550°C (-40°F to 1022°F), SD card, integrated back box, IP66,  NEMA4X, IK10, PoE/12VDC, white color.</t>
  </si>
  <si>
    <t>TNO-C3080T</t>
  </si>
  <si>
    <t>QVGA AI Thermal Bullet</t>
  </si>
  <si>
    <t xml:space="preserve">T series network thermal compact bullet camera, 384 x 288 (uncooled); ＜20mK (NETD), Max 768 x 576 @ 30fps resolution support, 60mm fixed focal lens (HFoV: 6.2o),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</si>
  <si>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TNO-C3060T</t>
  </si>
  <si>
    <t xml:space="preserve">T series network thermal compact bullet camera, 384 x 288 (uncooled); ＜20mK (NETD), Max 768 x 576 @ 30fps resolution support, 35mm fixed focal lens (HFoV: 10.7o), Triple codec H.265/H.264/MJPEG with Wisestream II and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</si>
  <si>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TNO-C3050T</t>
  </si>
  <si>
    <t xml:space="preserve">T series network thermal compact bullet camera, 384 x 288 (uncooled); ＜20mK (NETD), Max 768 x 576 @ 30fps resolution support, 19mm fixed focal lens (HFoV: 19.3o),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 This product is subject to the thermal agreement. </t>
  </si>
  <si>
    <t>TNO-C3040T</t>
  </si>
  <si>
    <t xml:space="preserve">T series network thermal compact bullet camera, 384 x 288 (uncooled); ＜20mK (NETD), Max 768 x 576 @ 30fps resolution support, 13mm fixed focal lens (HFoV: 28.5o),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 (Appear/Disappear), PTZ handover, built-in SD card slot (1x1TB), integrated back box, IP66, NEMA4X, IK10, PoE/12VDC, white color. This product is subject to the thermal agreement. </t>
  </si>
  <si>
    <t>TNO-C3082T</t>
  </si>
  <si>
    <t>QVGA AI Thermal Bullet (Lower Frame Rate)</t>
  </si>
  <si>
    <t>T series network thermal compact bullet camera, 384 x 288 (uncooled); ＜20mK (NETD), Max 768 x 576 @ 8fps resolution support, 60mm fixed focal lens (HFoV: 6.2o),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</si>
  <si>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TNO-C3062T</t>
  </si>
  <si>
    <t>T series network thermal compact bullet camera, 384 x 288 (uncooled); ＜20mK (NETD), Max 768 x 576 @ 8fps resolution support, 35mm fixed focal lens (HFoV: 10.7o),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</si>
  <si>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TNO-C3052T</t>
  </si>
  <si>
    <t>T series network thermal compact bullet camera, 384 x 288 (uncooled); ＜20mK (NETD), Max 768 x 576 @ 8fps resolution support, 19mm fixed focal lens (HFoV: 19.3o),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</si>
  <si>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TNO-C3042T</t>
  </si>
  <si>
    <t>T series network thermal compact bullet camera, 384 x 288 (uncooled); ＜20mK (NETD), Max 768 x 576 @ 8fps resolution support, 13mm fixed focal lens (HFoV: 28.5o), Triple codec H.265/H.264/MJPEG with WiseStream III (based on AI engine) support, Analytics events based on AI engine: Object detection (Person/Vehicle), Virtual line (Crossing/ Direction), Virtual area (Loitering/Intrusion/Enter/Exit), Analytics events: Motion detection, Tampering, Audio detection, Sound classification, Shock detection, Virtual area(Appear/Disappear), PTZ handover, built-in SD card slot (1x1TB), integrated back box, IP66, NEMA4X, IK10, PoE/12VDC, white color</t>
  </si>
  <si>
    <t>TNM-C4960TD</t>
  </si>
  <si>
    <t>Bi-Spectrum AI Thermal Camera, AI, Thermal 25mm / Visible 10.9~29mm M-V/F</t>
  </si>
  <si>
    <t>VGA/4K</t>
  </si>
  <si>
    <r>
      <rPr>
        <rFont val="Arial"/>
        <color rgb="FF000000"/>
        <sz val="12.0"/>
      </rPr>
      <t xml:space="preserve">T series network bi-spectrum AI thermal camera bullet camera, </t>
    </r>
    <r>
      <rPr>
        <rFont val="Arial"/>
        <b/>
        <color rgb="FF000000"/>
        <sz val="12.0"/>
      </rPr>
      <t>Thermal sensor</t>
    </r>
    <r>
      <rPr>
        <rFont val="Arial"/>
        <color rgb="FF000000"/>
        <sz val="12.0"/>
      </rPr>
      <t xml:space="preserve">: 25mm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rFont val="Arial"/>
        <b/>
        <color rgb="FF000000"/>
        <sz val="12.0"/>
      </rPr>
      <t>Visible sensor:</t>
    </r>
    <r>
      <rPr>
        <rFont val="Arial"/>
        <color rgb="FF000000"/>
        <sz val="12.0"/>
      </rPr>
      <t xml:space="preserve"> 10.9~29mm(2.6x) motorized varifocal,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rFont val="Arial"/>
        <b/>
        <color rgb="FF000000"/>
        <sz val="12.0"/>
      </rPr>
      <t xml:space="preserve">Camera features: </t>
    </r>
    <r>
      <rPr>
        <rFont val="Arial"/>
        <color rgb="FF000000"/>
        <sz val="12.0"/>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</si>
  <si>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TNM-C4950TD</t>
  </si>
  <si>
    <t>Bi-Spectrum AI Thermal Camera, AI, Thermal 13.5mm / Visible 10.9~29mm M-V/F</t>
  </si>
  <si>
    <r>
      <rPr>
        <rFont val="Arial"/>
        <color rgb="FF000000"/>
        <sz val="12.0"/>
      </rPr>
      <t xml:space="preserve">T series network bi-spectrum AI thermal camera bullet camera, </t>
    </r>
    <r>
      <rPr>
        <rFont val="Arial"/>
        <b/>
        <color rgb="FF000000"/>
        <sz val="12.0"/>
      </rPr>
      <t>Thermal sensor</t>
    </r>
    <r>
      <rPr>
        <rFont val="Arial"/>
        <color rgb="FF000000"/>
        <sz val="12.0"/>
      </rPr>
      <t xml:space="preserve">: 13.5mm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rFont val="Arial"/>
        <b/>
        <color rgb="FF000000"/>
        <sz val="12.0"/>
      </rPr>
      <t>Visible sensor:</t>
    </r>
    <r>
      <rPr>
        <rFont val="Arial"/>
        <color rgb="FF000000"/>
        <sz val="12.0"/>
      </rPr>
      <t xml:space="preserve"> 10.9~29mm(2.6x) motorized varifocal,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rFont val="Arial"/>
        <b/>
        <color rgb="FF000000"/>
        <sz val="12.0"/>
      </rPr>
      <t xml:space="preserve">Camera features: </t>
    </r>
    <r>
      <rPr>
        <rFont val="Arial"/>
        <color rgb="FF000000"/>
        <sz val="12.0"/>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</si>
  <si>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TNM-C4940TD</t>
  </si>
  <si>
    <t>Bi-Spectrum AI Thermal Camera, AI, IR, Thermal 9.1mm / Visible 4.4~9.3mm M-V/F</t>
  </si>
  <si>
    <r>
      <rPr>
        <rFont val="Arial"/>
        <color rgb="FF000000"/>
        <sz val="12.0"/>
      </rPr>
      <t xml:space="preserve">T series network bi-spectrum AI thermal camera bullet camera, </t>
    </r>
    <r>
      <rPr>
        <rFont val="Arial"/>
        <b/>
        <color rgb="FF000000"/>
        <sz val="12.0"/>
      </rPr>
      <t>Thermal sensor</t>
    </r>
    <r>
      <rPr>
        <rFont val="Arial"/>
        <color rgb="FF000000"/>
        <sz val="12.0"/>
      </rPr>
      <t xml:space="preserve">: 9.1mm fixed focal, VGA (640x480 - can be scaled up to SVGA 1280x960), H.265/H.264: Max. 30fps/25fps (AI 2CH ON - 15fps), MJPEG: Max. 3fps, NETD ＜60mK, Pixel Size 12㎛, 7 x  Color Palettes, Analytics events based on AI engine: Object detection (Person/Vehicle), Bestshot, IVA (Virtual line/Area, Enter/Exit, Loitering, direction, intrusion), Stopped vehicle, Traffic jam, Vehicle counting, Analytics events: Motion detection. </t>
    </r>
    <r>
      <rPr>
        <rFont val="Arial"/>
        <b/>
        <color rgb="FF000000"/>
        <sz val="12.0"/>
      </rPr>
      <t>Visible sensor:</t>
    </r>
    <r>
      <rPr>
        <rFont val="Arial"/>
        <color rgb="FF000000"/>
        <sz val="12.0"/>
      </rPr>
      <t xml:space="preserve"> 4.4~9.3mm(2.2x) motorized varifocal, IR 30m (98.42ft), 4K (3840x2160), H.265/H.264: Max. 30fps/25fps (AI 2CH ON - 15fps), MJPEG: Max. 1fps, Analytics events based on AI engine Object detection (Person, face, ehicle(car/bus/truck/motorcycle/bicycle), License plate), Virtual line (Crossing/Direction), Virtual area (Loitering/Intrusion/Enter/Exit), Analytics events : Defocus detection, Motion detection, Tampering, Audio detection, Sound classification, Shock detection, Virtual area(Appear/Disappear), </t>
    </r>
    <r>
      <rPr>
        <rFont val="Arial"/>
        <b/>
        <color rgb="FF000000"/>
        <sz val="12.0"/>
      </rPr>
      <t xml:space="preserve">Camera features: </t>
    </r>
    <r>
      <rPr>
        <rFont val="Arial"/>
        <color rgb="FF000000"/>
        <sz val="12.0"/>
      </rPr>
      <t>4 x  I/O ports, 1 x Metal shielded RJ-45(10/100/1000BASE-T), TPM 2.0 (FIPS 140-2 level 2) HTTPS(SSL) login authentication, 2 x Micro SD slots each max 512GB, PoE+(IEEE802.3at, Class4), 12VDC, IP66/IP67, IK10, NEMA4X, NEMA TS 2(2.2.8, 2.2.9), includes pole/mount bracket, excludes Stainless Steel Straps (SBP-100S)</t>
    </r>
  </si>
  <si>
    <t>TNM-C4942TDR</t>
  </si>
  <si>
    <t>Bi-spectrum AI Radiometric Camera
VGA thermal / 4K visible</t>
  </si>
  <si>
    <t xml:space="preserve">T series network Bi-spectrum AI Radiometric Camera, Thermal: 640 x 480 (uncooled) @ 8fps, &lt;60mK (NETD), built-in 9.1mm fixed lens (HFoV: 50°),Visible: 4K, built-in 4.4~9.3mm motorized varifocal lens (HFoV: 112.1°~47.5°), Max. 3840 x 2160 resolution @ 30fps,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Radiometrics: whole FoV area or up 10 user programmable quadrangle ROIs, temperature detection range from -20oC to 130oC (-4oF to 266oF),  FIPS 140-2, 2x micro SD card slots supporting up to 512GB each, IP66/IP67, IK10, NEMA4X, NEMA TS 2(2.2.8, 2.2.9), PoE+/12VDC </t>
  </si>
  <si>
    <t>TNM-C4940TDR</t>
  </si>
  <si>
    <t xml:space="preserve">T series network Bi-spectrum AI Radiometric Camera, Thermal: 640 x 480 (uncooled) @ 30fps, &lt;60mK (NETD), built-in 9.1mm fixed lens (HFoV: 50°),Visible: 4K, built-in 4.4~9.3mm motorized varifocal lens (HFoV: 112.1°~47.5°), Max. 3840 x 2160 resolution @ 30fps, Triple codec H.265/H.264/MJPEG with Wisestream II and WiseStream III (based on AI engine) support, WDR 120dB, IR viewable length 30m (98ft), AI object detection (thermal): Person/Vehicle, AI object detection (visible): Person/Face/Vehicle (car,bus,truck, motorcycle, bicycle)/License Plate, Analytics events based on AI engine: Virtual line (Crossing/ Direction), Virtual area (Loitering/Intrusion/Enter/Exit), Additional analytics events (thermal): Motion detection, Additional analytics events (visible): Motion detection, Defocus detection, Tampering, Audio detection, Sound classification, Shock detection, Virtual area(Appear/Disappear), Alarm events: Image upload (e-mail/FTP), Notification (e-mail), Recording (edge/NAS), Alarm output, Handover (PTZ preset, HTTP/HTTPS/TCP message), Audio clip playback, MQTT (publication), Radiometrics: whole FoV area or up 10 user programmable quadrangle ROIs, temperature detection range from -20oC to 130oC (-4oF to 266oF),  FIPS 140-2, 2x micro SD card slots, supporting up to 512GB each, IP66/IP67, IK10, NEMA4X, NEMA TS 2(2.2.8, 2.2.9), PoE+/12VDC
This product is subject to the Thermal agreement. </t>
  </si>
  <si>
    <t>TNM-C3622TDR</t>
  </si>
  <si>
    <t>Bi-spectrum AI Radiometric Camera
QVGA thermal / 2MP visible</t>
  </si>
  <si>
    <t>QVGA/2MP</t>
  </si>
  <si>
    <t>T series network Bi-spectrum AI Radiometric Camera, Thermal: 320 x 240 (uncooled) @ 8fps, &lt;50mK (NETD), built-in 4.7mm fixed lens (HFoV: 50°), Visible: 2MP, built-in 4mm fixed (HFoV: 87.6°), Max. 1920 x 1080 resolution @ 30fps, Triple codec H.265/H.264/MJPEG with Wisestream II support, extremeWDR 150dB, AI object detection (visible only) Person/Face, Analytics events: Directional detection, Motion detection, Enter/Exit, Tampering, Virtual line, Audio detection, Alarm events: Image upload (e-mail/FTP), Notification (e-mail), Recording (edge/NAS), Alarm output, Handover (PTZ preset, HTTP/HTTPS/TCP message), Audio clip playback, MQTT (publication), Radiometrics: whole FoV area or up 6 user programmable quadrangle ROIs, temperature detection range from -20oC to 130oC (-4oF to 266oF),  FIPS 140-2, 1 x micro SD card slot supporting up to 256GB, PoE+/12VDC. Compatible with sold separately accessories mounts for wall SBP-142WMW and ceiling SBP-142CMW</t>
  </si>
  <si>
    <t>TNM-C3620TDR</t>
  </si>
  <si>
    <t>T series network Bi-spectrum AI Radiometric Camera, Thermal: 320 x 240 (uncooled) @ 30fps, &lt;50mK (NETD), built-in 4.7mm fixed lens (HFoV: 50°), Visible: 2MP, built-in 4mm fixed (HFoV: 87.6°), Max. 1920 x 1080 resolution @ 30fps, Triplecodec H.265/H.264/MJPEG with Wisestream II support, extremeWDR 150dB, AI object detection (visible only) Person/Face, Analytics events: Directional detection, Motion detection, Enter/Exit, Tampering, Virtual line, Audio detection, Alarm events: Image upload (e-mail/FTP), Notification (e-mail), Recording (edge/NAS), Alarm output, Handover (PTZ preset, HTTP/HTTPS/TCP message), Audio clip playback, MQTT (publication), Radiometrics: whole FoV area or up 6 user programmable quadrangle ROIs, temperature detection range from -20oC to 130oC (-4oF to 266oF),  FIPS 140-2, 1 x micro SD card slot supporting up to 256GB, PoE+/12VDC
This product is subject to the Thermal agreement. Compatible with sold separately accessories mounts for wall SBP-142WMW and ceiling SBP-142CMW</t>
  </si>
  <si>
    <t>TNM-C2722TDR</t>
  </si>
  <si>
    <t>Bi-spectrum Early Fire Detection Camera</t>
  </si>
  <si>
    <t>QQVGA/3MP</t>
  </si>
  <si>
    <t xml:space="preserve">T series network Bi-spectrum Early Fire Detection Camera, Thermal: 160 x 120 (uncooled) @ 8fps, &lt;50mK (NETD), built-in 1.9mm fixed lens (57° HFoV / 44° VFoV), Visible: 3MP, built-in 4.46mm fixed lens (69° HFoV / 50.8° VFoV), Max. 2048 x 1536 resolution @ 30fps,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 </t>
  </si>
  <si>
    <t>TNM-C2712TDR</t>
  </si>
  <si>
    <t xml:space="preserve">T series network Bi-spectrum Early Fire Detection Camera, Thermal: 160 x 120 (uncooled) @ 8fps, &lt;50mK (NETD), built-in 1.2mm fixed lens (95° HFoV / 69° VFoV), Visible: 3MP, built-in 3.06mm fixed lens (100° HFoV / 73° VFoV), Max. 2048 x 1536 resolution @ 30fps, Triple codec H.265/H.264/MJPEG with Wisestream II support, Analytics (thermal): temperature detection, temperature difference detection, motion detection, Analytics (visible): early fire detection, motion detection, audio detection, tampering, Alarm events: Image upload (e-mail/FTP), Notification (e-mail), Recording (edge/NAS), Alarm output, Handover (PTZ preset, HTTP/HTTPS/TCP message), Audio clip playback, MQTT (publication), Early fire detection: 3 user programmable quadrangle ROIs, Radiometric: 2 user programmable quadrangle ROIs, temperature detection range from -10°C to 450°C (-14°F to 842°F), micro SD card (512GB x1), PoE (802.3af) </t>
  </si>
  <si>
    <t>TNO-4050T</t>
  </si>
  <si>
    <t>VGA Thermal</t>
  </si>
  <si>
    <t>VGA</t>
  </si>
  <si>
    <t>T series network outdoor thermal bullet camera,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</si>
  <si>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t>
  </si>
  <si>
    <t>T series network outdoor thermal bullet camera, VGA @30fps, 19mm fixed lens (32°),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</si>
  <si>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TNO-4030T</t>
  </si>
  <si>
    <t>T series network outdoor thermal bullet camera, VGA @30fps,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</si>
  <si>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TNO-3010T</t>
  </si>
  <si>
    <t>QVGA Thermal</t>
  </si>
  <si>
    <t>T series network outdoor thermal bullet camera, QVGA @30fps, 2.7mm fixed lens (92°),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</si>
  <si>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TNO-3020T</t>
  </si>
  <si>
    <t>T series network outdoor thermal bullet camera, QVGA @30fps, 4.7mm fixed lens (50°),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</si>
  <si>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TNO-3030T</t>
  </si>
  <si>
    <t>T series network outdoor thermal bullet camera, QVGA @30fps,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</si>
  <si>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TNO-3040T</t>
  </si>
  <si>
    <t>T series network outdoor thermal bullet camera, QVGA @30fps, 19mm fixed lens (11.5°),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Nema 4X, PoE/12VDC/24VAC</t>
  </si>
  <si>
    <t>TNO-3050T</t>
  </si>
  <si>
    <t>T series network outdoor thermal bullet camera, QVGA @30fps, 35mm fixed lens (6.3°),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Nema 4X, PoE/12VDC/24VAC</t>
  </si>
  <si>
    <t>TNO-L3030T</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</si>
  <si>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</si>
  <si>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TNO-L4030T</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</si>
  <si>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</si>
  <si>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TNO-4040TR</t>
  </si>
  <si>
    <t>VGA Thermal Radiometric</t>
  </si>
  <si>
    <t>T series network outdoor thermal radiometric bullet camera, VGA @30fps, 19mm fixed lens (32°),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</si>
  <si>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TNO-4030TR</t>
  </si>
  <si>
    <t>T series network outdoor thermal radiometric bullet camera, VGA @30fps,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</si>
  <si>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TNU-4051T</t>
  </si>
  <si>
    <t>VGA Thermal Positioning</t>
  </si>
  <si>
    <t>T series network outdoor thermal positioning camera, VGA @30fps, 35mm fixed lens (17.2°), triple codec H.265/H.264/MJPEG with WiseStream II, Multiple streaming, Tampering, Loitering, Directional detection, Audio detection, Sound classification, Shock
detection, Temperature change detection, Digital Image Stabilization with built-in Gyro Sensor, Bi-directional audio and microSD/SDHC/SDXC slot, IP66, IK10, Nema 4X, 24VAC</t>
  </si>
  <si>
    <t>TNU-4041T</t>
  </si>
  <si>
    <t>T series network outdoor thermal positioning camera, VGA @30fps, 19mm fixed lens (32°), triple codec H.265/H.264/MJPEG with WiseStream II, Multiple streaming, Tampering, Loitering, Directional detection, Audio detection, Sound classification, Shock
detection, Temperature change detection, Digital Image Stabilization with built-in Gyro Sensor, Bi-directional audio and microSD/SDHC/SDXC slot, IP66, IK10, Nema 4X, 24VAC</t>
  </si>
  <si>
    <t>TNO-4041TR</t>
  </si>
  <si>
    <t>T series network outdoor thermal radiometric bullet camera, VGA @30fps, 19mm fixed lens (32°),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 PT type</t>
  </si>
  <si>
    <t>TNO-4051T</t>
  </si>
  <si>
    <t>T series network outdoor thermal bullet camera,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 PT type</t>
  </si>
  <si>
    <t>TNO-4041T</t>
  </si>
  <si>
    <t>T series network outdoor thermal bullet camera, VGA @30fps, 19mm fixed lens (32°), triple codec H.265/H.264/MJPEG with WiseStream II, Multiple streaming,  Hallway View, Motion detection, Tampering detection, Handover, 7 colour palettes, Digital Image Stabilization with built-in Gyro Sensor,Bi-directional audio and microSD/SDHC/SDXC slot, IP66, IK10, Nema 4X, PoE/12VDC/24VAC, PT type</t>
  </si>
  <si>
    <t>TNO-L4030TR</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</si>
  <si>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</si>
  <si>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TNO-L4040TR</t>
  </si>
  <si>
    <t>T series network outdoor vandal Radiometric bullet camera (uncooled), 640x480 @ 8fps, 19mm fixed focal lens (32°), triple codec H.265/H.264/MJPEG with Wisestream II, SD card, advanced video analytics and sound classification, PTZ handover, up to 6 user programmable temperature detection areas, temperature detection range is from (-4°F ~ 266°F) , open platform, DIS(Gyro), integrated back box, IP66, IK10, PoE/12VDC/24VAC, white color.</t>
  </si>
  <si>
    <t>TNO-L4040T</t>
  </si>
  <si>
    <t>T series network outdoor vandal thermal bullet camera (uncooled), 640x480 @ 8fps, 19mm fixed focal lens (32°), triple codec H.265/H.264/MJPEG with Wisestream II, SD card, advanced video analytics and sound classification, PTZ handover, open platform, DIS(Gyro), integrated back box, IP66, IK10, PoE/12VDC/24VAC, white color.</t>
  </si>
  <si>
    <t>TNO-L4050T</t>
  </si>
  <si>
    <t>T series network outdoor vandal thermal bullet camera (uncooled), 640x480 @ 8fps, 35mm fixed focal lens (17.2°), triple codec H.265/H.264/MJPEG with Wisestream II, SD card, advanced video analytics and sound classification, PTZ handover, open platform, DIS(Gyro), integrated back box, IP66, IK10, PoE/12VDC/24VAC, white color.</t>
  </si>
  <si>
    <t>NVRs</t>
  </si>
  <si>
    <t>Recording - Network</t>
  </si>
  <si>
    <t>XRN-426S-1T</t>
  </si>
  <si>
    <t>4CH AI NVR</t>
  </si>
  <si>
    <t>4CH</t>
  </si>
  <si>
    <t>NVR</t>
  </si>
  <si>
    <t>4 channel PoE solid state fanless NVR with 1TB SSD built in</t>
  </si>
  <si>
    <t>XRN-426S-2T</t>
  </si>
  <si>
    <t>4 channel PoE solid state fanless NVR with 2TB SSD built in</t>
  </si>
  <si>
    <t>XRN-6420DB4</t>
  </si>
  <si>
    <t>64CH NVR with 12th gen. Intel® Processor</t>
  </si>
  <si>
    <t>64CH</t>
  </si>
  <si>
    <r>
      <rPr>
        <rFont val="Arial"/>
        <color rgb="FF000000"/>
        <sz val="12.0"/>
      </rPr>
      <t xml:space="preserve">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rFont val="Arial"/>
        <b/>
        <color rgb="FFFF0000"/>
        <sz val="12.0"/>
      </rPr>
      <t>No HDD included</t>
    </r>
  </si>
  <si>
    <t>XRN-6420B4</t>
  </si>
  <si>
    <r>
      <rPr>
        <rFont val="Arial"/>
        <color rgb="FF000000"/>
        <sz val="12.0"/>
      </rPr>
      <t xml:space="preserve">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rFont val="Arial"/>
        <b/>
        <color rgb="FFFF0000"/>
        <sz val="12.0"/>
      </rPr>
      <t>No HDD included</t>
    </r>
  </si>
  <si>
    <t>XRN-3220B4</t>
  </si>
  <si>
    <t>32CH NVR with 12th gen. Intel® Processor</t>
  </si>
  <si>
    <t>32CH</t>
  </si>
  <si>
    <r>
      <rPr>
        <rFont val="Arial"/>
        <color rgb="FF000000"/>
        <sz val="12.0"/>
      </rPr>
      <t xml:space="preserve">X series 8K NVR (Intel based), 32Ch,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t>
    </r>
    <r>
      <rPr>
        <rFont val="Arial"/>
        <b/>
        <color rgb="FFFF0000"/>
        <sz val="12.0"/>
      </rPr>
      <t>No HDD included</t>
    </r>
  </si>
  <si>
    <t>XRN-1620B2</t>
  </si>
  <si>
    <t>16CH 32MP 140Mbps 8 Bay NVR</t>
  </si>
  <si>
    <t>16CH</t>
  </si>
  <si>
    <r>
      <rPr>
        <rFont val="Arial"/>
        <color rgb="FF000000"/>
        <sz val="12.0"/>
      </rPr>
      <t xml:space="preserve">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t>
    </r>
    <r>
      <rPr>
        <rFont val="Arial"/>
        <b/>
        <color rgb="FFFF0000"/>
        <sz val="12.0"/>
      </rPr>
      <t>No HDD included</t>
    </r>
  </si>
  <si>
    <t>XRN-1620B2-4TB-S</t>
  </si>
  <si>
    <t>16CH 32MP 140Mbps 8 Bay NVR - 4TB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</si>
  <si>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4TB Seagate SKyHawk HDD included (ST4000VX016)</t>
  </si>
  <si>
    <t>XRN-1620B2-6TB-S</t>
  </si>
  <si>
    <t>16CH 32MP 140Mbps 8 Bay NVR - 6TB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</si>
  <si>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6TB Seagate SKyHawk HDD included (ST6000VX009)</t>
  </si>
  <si>
    <t>XRN-1620B2-8TB-S</t>
  </si>
  <si>
    <t>16CH 32MP 140Mbps 8 Bay NVR - 8TB HDD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</si>
  <si>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8TB Seagate SKyHawk HDD included (ST8000VX010)</t>
  </si>
  <si>
    <t>XRN-1620SB1</t>
  </si>
  <si>
    <t>16CH 32MP 140Mbps 4 Bay PoE NVR</t>
  </si>
  <si>
    <r>
      <rPr>
        <rFont val="Arial"/>
        <color rgb="FF000000"/>
        <sz val="12.0"/>
      </rPr>
      <t xml:space="preserve">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t>
    </r>
    <r>
      <rPr>
        <rFont val="Arial"/>
        <b/>
        <color rgb="FFFF0000"/>
        <sz val="12.0"/>
      </rPr>
      <t>No HDD included</t>
    </r>
  </si>
  <si>
    <t>XRN-1620SB1-4TB-S</t>
  </si>
  <si>
    <t>16CH 32MP 140Mbps 4 Bay PoE NVR - 4TB HDD</t>
  </si>
  <si>
    <t>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4TB Seagate SKyHawk HDD included (ST4000VX016)</t>
  </si>
  <si>
    <t>XRN-1620SB1-6TB-S</t>
  </si>
  <si>
    <t>16CH 32MP 140Mbps 4 Bay PoE NVR - 6TB HDD</t>
  </si>
  <si>
    <t>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6TB Seagate SKyHawk HDD included (ST6000VX009)</t>
  </si>
  <si>
    <t>XRN-3220B2</t>
  </si>
  <si>
    <t>32CH 8K</t>
  </si>
  <si>
    <t>8K NVR (Intel based), 32Ch, No HDD, 8 SATA HDD bays (up to 10TB per HDD), H.265/H.264/MJPEG, Up To 520 Mbps Recording, HDMI(x2) Dual Display, Alarm I/O, 2-Way Audio</t>
  </si>
  <si>
    <t>XRN-3220RB2</t>
  </si>
  <si>
    <t>8K NVR (Intel based), 32Ch, No HDD, 8 SATA HDD bays (up to 10TB per HDD), H.265/H.264/MJPEG, Up To 520 Mbps Recording, HDMI(x2) Dual Display, Alarm I/O, 2-Way Audio, Support for RAID 5/6 (NOTE: Requires a minimum number of HDDs per RAID type)</t>
  </si>
  <si>
    <t>XRN-6420B2</t>
  </si>
  <si>
    <t>64CH 8K</t>
  </si>
  <si>
    <t>8K NVR (Intel based), 64Ch, No HDD, 8 SATA HDD bays (up to 10TB per HDD), H.265/H.264/MJPEG, Up To 520 Mbps Recording, HDMI(x2) Dual Display, Alarm I/O, 2-Way Audio</t>
  </si>
  <si>
    <t>XRN-6420RB2</t>
  </si>
  <si>
    <t>8K NVR (Intel based), 64Ch, No HDD, 8 SATA HDD bays (up to 10TB per HDD), H.265/H.264/MJPEG, Up To 520 Mbps Recording, HDMI(x2) Dual Display, Alarm I/O, 2-Way Audio Support for RAID 5/6 (NOTE: Requires a minimum number of HDDs per RAID type)</t>
  </si>
  <si>
    <t>XRN-820S</t>
  </si>
  <si>
    <t>8CH 32MP 100Mbps 2 Bay PoE NVR</t>
  </si>
  <si>
    <t>8CH</t>
  </si>
  <si>
    <r>
      <rPr>
        <rFont val="Arial"/>
        <color rgb="FF000000"/>
        <sz val="12.0"/>
      </rPr>
      <t xml:space="preserve">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t>
    </r>
    <r>
      <rPr>
        <rFont val="Arial"/>
        <b/>
        <color rgb="FFFF0000"/>
        <sz val="12.0"/>
      </rPr>
      <t>No HDD included</t>
    </r>
  </si>
  <si>
    <t>XRN-820S-4TB-S</t>
  </si>
  <si>
    <t>8CH 32MP 100Mbps 2 Bay PoE NVR - 4TB HDD</t>
  </si>
  <si>
    <t>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4TB Seagate SKyHawk HDD included (ST4000VX016)</t>
  </si>
  <si>
    <t>XRN-820S-6TB-S</t>
  </si>
  <si>
    <t>8CH 32MP 100Mbps 2 Bay PoE NVR - 6TB HDD</t>
  </si>
  <si>
    <t>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6TB Seagate SKyHawk HDD included (ST6000VX009)</t>
  </si>
  <si>
    <t>XRN-815S</t>
  </si>
  <si>
    <t>8CH 12MP 100Mbps 2 Bay PoE NVR</t>
  </si>
  <si>
    <r>
      <rPr>
        <rFont val="Arial"/>
        <color rgb="FF000000"/>
        <sz val="12.0"/>
      </rPr>
      <t xml:space="preserve">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t>
    </r>
    <r>
      <rPr>
        <rFont val="Arial"/>
        <b/>
        <color rgb="FFFF0000"/>
        <sz val="12.0"/>
      </rPr>
      <t>No HDD included</t>
    </r>
  </si>
  <si>
    <t>XRN-815S-4TB-S</t>
  </si>
  <si>
    <t>8CH 12MP 100Mbps 2 Bay PoE NVR - 4TB HDD</t>
  </si>
  <si>
    <t>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4TB Seagate SKyHawk HDD included (ST4000VX016)</t>
  </si>
  <si>
    <t>XRN-815S-8TB-S</t>
  </si>
  <si>
    <t>8CH 12MP 100Mbps 2 Bay PoE NVR - 8TB HDD</t>
  </si>
  <si>
    <t>X series 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2 x 4TB Seagate SKyHawk HDD included (ST4000VX016)</t>
  </si>
  <si>
    <t>XRN-420S</t>
  </si>
  <si>
    <t>4CH PoE+ NVR</t>
  </si>
  <si>
    <t>NDAA complient</t>
  </si>
  <si>
    <r>
      <rPr>
        <rFont val="Arial"/>
        <color rgb="FF000000"/>
        <sz val="12.0"/>
      </rPr>
      <t xml:space="preserve">X series 4CH 4K NVR, 4CH @8MP each, triple codec H.265/H.264/MJPEG with WiseStream technology, AI search features; 50Mbps network camera recording, Plug &amp; play by 4 PoE/PoE+ Ports, ARB (Automatic Recovery Backup), 1 fixed internal SATA HDD (6TB max), HDMI, VGA local monitor, SUNAPI, ONVIF, </t>
    </r>
    <r>
      <rPr>
        <rFont val="Arial"/>
        <b/>
        <color rgb="FFFF0000"/>
        <sz val="12.0"/>
      </rPr>
      <t>No HDD included</t>
    </r>
  </si>
  <si>
    <t>QRN-430S</t>
  </si>
  <si>
    <t>4CH PoE NVR</t>
  </si>
  <si>
    <r>
      <rPr>
        <rFont val="Arial"/>
        <color rgb="FF000000"/>
        <sz val="12.0"/>
      </rPr>
      <t xml:space="preserve">Q series 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t>
    </r>
    <r>
      <rPr>
        <rFont val="Arial"/>
        <b/>
        <color rgb="FFFF0000"/>
        <sz val="12.0"/>
      </rPr>
      <t>No HDD included</t>
    </r>
  </si>
  <si>
    <t>QRN-430S-4TB-S</t>
  </si>
  <si>
    <t>4CH PoE NVR - 4TB HDD</t>
  </si>
  <si>
    <t>Q series 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4TB Seagate SKyHawk HDD included (ST4000VX016)</t>
  </si>
  <si>
    <t>QRN-830S</t>
  </si>
  <si>
    <t>8CH PoE NVR</t>
  </si>
  <si>
    <r>
      <rPr>
        <rFont val="Arial"/>
        <color rgb="FF000000"/>
        <sz val="12.0"/>
      </rPr>
      <t xml:space="preserve">Q series 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t>
    </r>
    <r>
      <rPr>
        <rFont val="Arial"/>
        <b/>
        <color rgb="FFFF0000"/>
        <sz val="12.0"/>
      </rPr>
      <t>No HDD included</t>
    </r>
  </si>
  <si>
    <t>QRN-830S-4TB-S</t>
  </si>
  <si>
    <t>8CH PoE NVR - 4TB HDD</t>
  </si>
  <si>
    <t>Q series 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4TB Seagate SKyHawk HDD included (ST4000VX016)</t>
  </si>
  <si>
    <t>QRN-1630S</t>
  </si>
  <si>
    <t>16CH 2 Bay PoE NVR</t>
  </si>
  <si>
    <r>
      <rPr>
        <rFont val="Arial"/>
        <color rgb="FF000000"/>
        <sz val="12.0"/>
      </rPr>
      <t xml:space="preserve">Q series 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t>
    </r>
    <r>
      <rPr>
        <rFont val="Arial"/>
        <b/>
        <color rgb="FFFF0000"/>
        <sz val="12.0"/>
      </rPr>
      <t>No HDD included</t>
    </r>
  </si>
  <si>
    <t>QRN-1630S-4TB-S</t>
  </si>
  <si>
    <t>16CH 2 Bay PoE NVR - 4TB HDD</t>
  </si>
  <si>
    <t>Q series 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4TB Seagate SKyHawk HDD included (ST4000VX016)</t>
  </si>
  <si>
    <t>ARN-410S</t>
  </si>
  <si>
    <t>A series</t>
  </si>
  <si>
    <r>
      <rPr>
        <rFont val="Arial"/>
        <color rgb="FF000000"/>
        <sz val="12.0"/>
      </rPr>
      <t xml:space="preserve">A Series 4CH PoE NVR, Embedded Linux, H.265, H.264, MJPEG codec, Plug &amp; play by 4 PoE (LAN, 10/100), 1 RJ-45(WAN, 10/100), 40Mbps Recording Throughput, Supported HDD (Maximum 1 x 6TB), HDMI local monitor, ARB supported,  P2P service support. </t>
    </r>
    <r>
      <rPr>
        <rFont val="Arial"/>
        <b/>
        <color rgb="FFFF0000"/>
        <sz val="12.0"/>
      </rPr>
      <t>No HDD included</t>
    </r>
  </si>
  <si>
    <t>ARN-810S</t>
  </si>
  <si>
    <r>
      <rPr>
        <rFont val="Arial"/>
        <color rgb="FF000000"/>
        <sz val="12.0"/>
      </rPr>
      <t>A Series 8CH PoE NVR, Embedded Linux, H.265, H.264, MJPEG codec, Plug &amp; play by 8 PoE (LAN, 10/100), 1 RJ-45(WAN, 10/100), 60Mbps Recording Throughput, Supported HDD (Maximum 1 x 6TB), HDMI local monitor, ARB supported, P2P service support.</t>
    </r>
    <r>
      <rPr>
        <rFont val="Arial"/>
        <b/>
        <color rgb="FFFF0000"/>
        <sz val="12.0"/>
      </rPr>
      <t>No HDD included</t>
    </r>
  </si>
  <si>
    <t>ARN-1610S</t>
  </si>
  <si>
    <t>16CH PoE NVR</t>
  </si>
  <si>
    <r>
      <rPr>
        <rFont val="Arial"/>
        <color rgb="FF000000"/>
        <sz val="12.0"/>
      </rPr>
      <t xml:space="preserve">A Series16CH PoE NVR, Embedded Linux, H.265, H.264, MJPEG codec, Plug &amp; play by 16 PoE (LAN, 10/100), 1 RJ-45(WAN, 1Gbps), 1 RJ-45(WAN, 10/100), 80Mbps Recording Throughput, Supported HDD (Maximum 2 x 6TB), HDMI / VGA local monitor, ARB supported 80Mbps network camera recording, P2P service support. </t>
    </r>
    <r>
      <rPr>
        <rFont val="Arial"/>
        <b/>
        <color rgb="FFFF0000"/>
        <sz val="12.0"/>
      </rPr>
      <t>No HDD included</t>
    </r>
  </si>
  <si>
    <t>Encoders and Decoders</t>
  </si>
  <si>
    <t>Encoder - Network</t>
  </si>
  <si>
    <t>SPE-420</t>
  </si>
  <si>
    <t>4CH Video Encoder</t>
  </si>
  <si>
    <t>Encoder</t>
  </si>
  <si>
    <t>4CH Network Video Encoder, H.265/H.264/MJPEG, 12fps@5MP, 15fps@4MP, 30fps@2MP or lower, Dual Streaming, AHD/CVI/TVI/CVBS(Pelco-C) compatible, RS-485 Interface (SAMSUNG-T, PELCO-P/D), ONVIF protocol support, HDMI output, Alarm I/O 4/2, Bi-directional Audio, PoE/12VDC</t>
  </si>
  <si>
    <t>SPE-1630</t>
  </si>
  <si>
    <t>16CH Video Encoder</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</si>
  <si>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</si>
  <si>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Decoder - Network</t>
  </si>
  <si>
    <t>SPD-152</t>
  </si>
  <si>
    <t>64CH Video Decoder</t>
  </si>
  <si>
    <t>Decoder</t>
  </si>
  <si>
    <t xml:space="preserve">64CH Network Video Decoder, up to 64 cameras, Dual HDMI display port(HDMI#1 UHD, HDMI#2 FHD), Max. 8M resolution, 8M@60fps, 2M@360fps, triple codec H.265/H.264/MJPEG, ONVIF, SUNAPI, RTSP, Various installation: Monitor-Back and Pole mount, PoE/12VDC </t>
  </si>
  <si>
    <t>IP Audio Systems</t>
  </si>
  <si>
    <t>Speaker</t>
  </si>
  <si>
    <t>SPA-C100B</t>
  </si>
  <si>
    <t>IP Ceiling Speaker</t>
  </si>
  <si>
    <t>IP Ceiling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Black</t>
  </si>
  <si>
    <t>SPA-C100W</t>
  </si>
  <si>
    <t>IP Ceiling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White</t>
  </si>
  <si>
    <t>SPA-P100B</t>
  </si>
  <si>
    <t>IP Pendant Speaker</t>
  </si>
  <si>
    <t>IP Pendant Speaker, Built-in 10W Class D amplifier, PoE &amp; PoE+, 1GBytes internal Memory, 99dB max Sound Pressure, 130Hz ~ 20kHz Frequency range, 91dB Sensitivity, IPv4, HTTP, SIP, mDNS, DNS, NTP, TCP, UDP, DHCP, ARP, ICMP protocol Support, TTS (English, German, French, Spanish, Audio Monitoring (Speaker, connection test), Multi-source Dynamic PA control (Up to 48 ch., 256 Zone, 255 Groups), White</t>
  </si>
  <si>
    <t>SPA-P100W</t>
  </si>
  <si>
    <t>IP Pendant Speaker, Built-in 10W Class D amplifier, PoE &amp; PoE+, 1GBytes internal Memory, 99dB max Sound Pressure, 130Hz ~ 20kHz Frequency range, 91dB Sensitivity, IPv4, HTTP, SIP, mDNS, DNS, NTP, TCP, UDP, DHCP, ARP, ICMP protocol Support, TTS (English, German, French, Spanish, Audio Monitoring (Speaker, connection test), Multi-source Dynamic PA control (Up to 48 ch., 256 Zone, 255 Groups), Black</t>
  </si>
  <si>
    <t>SPA-W100B</t>
  </si>
  <si>
    <t>IP Wall Speaker</t>
  </si>
  <si>
    <t>IP Wall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IP54, Black</t>
  </si>
  <si>
    <t>SPA-W100W</t>
  </si>
  <si>
    <t>IP Wall Speaker, Built-in 10W Class D amplifier, PoE &amp; PoE+, 1GBytes internal Memory, 99dB max Sound Pressure, 120Hz ~ 20kHz Frequency range, 90dB Sensitivity, IPv4, HTTP, SIP, mDNS, DNS, NTP, TCP, UDP, DHCP, ARP, ICMP protocol Support, TTS (English, German, French, Spanish, Audio Monitoring (Speaker, connection test), Multi-source Dynamic PA control (Up to 48 ch., 256 Zone, 255 Groups), IP54, White</t>
  </si>
  <si>
    <t>SPA-H100B</t>
  </si>
  <si>
    <t>IP Horn Speaker</t>
  </si>
  <si>
    <t>IP Horn Speaker, Built-in 10W Class D amplifier, PoE &amp; PoE+, 1GBytes internal Memory, 99dB max Sound Pressure, 650Hz ~ 5.3kHz Frequency range, 111dB Sensitivity, IPv4, HTTP, SIP, mDNS, DNS, NTP, TCP, UDP, DHCP, ARP, ICMP protocol Support, TTS (English, German, French, Spanish, Audio Monitoring (Speaker, connection test), Multi-source Dynamic PA control (Up to 48 ch., 256 Zone, 255 Groups), IP66, Black</t>
  </si>
  <si>
    <t>SPA-H100W</t>
  </si>
  <si>
    <t>IP Horn Speaker, Built-in 10W Class D amplifier, PoE &amp; PoE+, 1GBytes internal Memory, 99dB max Sound Pressure, 650Hz ~ 5.3kHz Frequency range, 111dB Sensitivity, IPv4, HTTP, SIP, mDNS, DNS, NTP, TCP, UDP, DHCP, ARP, ICMP protocol Support, TTS (English, German, French, Spanish, Audio Monitoring (Speaker, connection test), Multi-source Dynamic PA control (Up to 48 ch., 256 Zone, 255 Groups), IP66, White</t>
  </si>
  <si>
    <t>Audio Module</t>
  </si>
  <si>
    <t>SPA-D1000</t>
  </si>
  <si>
    <t>IP Audio Module</t>
  </si>
  <si>
    <t>IP Audio Module, +6dBV ±3dB Output level, 20Hz ~ 20kHz Frequency Response, Built-in 10W Class D amplifier, PoE &amp; PoE+, 1GBytes internal Memory, IPv4, HTTP, SIP, mDNS, DNS, NTP, TCP, UDP, DHCP, ARP, ICMP protocol Support, TTS (English, German, French, Spanish, Audio Monitoring (Speaker, connection test), Multi-source Dynamic PA control (Up to 48 ch., 256 Zone, 255 Groups)</t>
  </si>
  <si>
    <t>Microphone</t>
  </si>
  <si>
    <t>SPA-M2000</t>
  </si>
  <si>
    <t>IP Microphone</t>
  </si>
  <si>
    <t>IP Microphone, +10dBV ±3dB Output level, 100Hz ~ 18kHz Frequency Response, PoE, SIP Protocol</t>
  </si>
  <si>
    <t>Audio Bridge</t>
  </si>
  <si>
    <t>SPA-B1000</t>
  </si>
  <si>
    <t>IP Audio Bridge</t>
  </si>
  <si>
    <t>Analogue to IP Audio Bridge, POE 15w/24 VDC</t>
  </si>
  <si>
    <t>Audio Server</t>
  </si>
  <si>
    <t>SPA-S1000</t>
  </si>
  <si>
    <t>IP Audio Server</t>
  </si>
  <si>
    <t>IP Audio Server, 10/100 Base-T Ethernet, PoE, IPv4, HTTP, SIP, mDNS, DNS, NTP, TCP, UDP, DHCP, ARP, ICMP protocols support, Multi-source Dynamic PA control (Up to 48 ch., 256 Zone, 255 Groups)</t>
  </si>
  <si>
    <t>SPS-A100M</t>
  </si>
  <si>
    <t>IP Speaker / Microphone / LED Combo</t>
  </si>
  <si>
    <t>Audio Beacon - Speaker with Max. Sound Pressure Level 90dB at 1m(3.28ft) and Frequency Range of 144Hz~20kHz, 5 Digital Microphones with Two-Way/One-Way selectable, Full Duplex communication with Echo Cancellation and Noise Reduction. Sound Classification (Glass Break, Scream, Extreme Decibel Event, Event Metadata (Sound Direction, Confidence, Audio Clip, dB level), LED Ring(Green, Blue, Red, Pink, Sky blue, Purple), Initial and Post-duration action setting, USB-C for installation app, 2 configurable digital I/O, PoE+, ONVIF Profile S, SUNAPI(HTTP API), Wisenet open platform, AI Sound Classification pack included, Secure element (FIPS 140-3 level3), Indoor Rated, Operating Temperature / Humidity -20°C ~ +55°C (-4°F ~ +122°F) / Less than 90% RH, Storage Temperature / Humidity -50°C ~ +60°C(-58°F ~ +140°F) / Less than 90% RH</t>
  </si>
  <si>
    <t>Analog HD+ Cameras</t>
  </si>
  <si>
    <t>Camera - Analog HD</t>
  </si>
  <si>
    <t>HCO-7070RA</t>
  </si>
  <si>
    <t>4MP Analog HD+ Bullet</t>
  </si>
  <si>
    <t>HD+ Series</t>
  </si>
  <si>
    <t>HD+ series 4MP IR bullet camera, AHD or CVBS formats are available, manual varifocal Lens (3.1X) (3.2-10mm), Day &amp; Night (ICR), 24VAC/12VDC, IR distance 30m, IP66/IK10</t>
  </si>
  <si>
    <t>HCO-7010RA</t>
  </si>
  <si>
    <t>HD+ series 4MP IR bullet camera, AHD or CVBS formats are available, 2.8 mm fixed lens, Day &amp; Night (ICR), 12VDC, IR distance 20m, IP66/IK10</t>
  </si>
  <si>
    <t>HCO-7020RA</t>
  </si>
  <si>
    <t>HD+ series 4MP IR bullet camera, AHD or CVBS formats are available, 4.0 mm fixed lens, Day &amp; Night (ICR), 12VDC, IR distance 25m, IP66/IK10</t>
  </si>
  <si>
    <t>HCO-7030RA</t>
  </si>
  <si>
    <t>HD+ series 4MP IR bullet camera, AHD or CVBS formats are available, 6.0 mm fixed lens, Day &amp; Night (ICR), 12VDC, IR distance 30m, IP66/IK10</t>
  </si>
  <si>
    <t>HCV-7070RA</t>
  </si>
  <si>
    <t>4MP Analog HD+ Outdoor Dome</t>
  </si>
  <si>
    <t>HD+ series 4MP IR outdoor dome camera, AHD or CVBS formats are available, manual varifocal Lens (3.1X) (3.2-10mm), Day &amp; Night (ICR), 24VAC/12VDC, IR distance 30m, IP66/IK10</t>
  </si>
  <si>
    <t>HCV-7010RA</t>
  </si>
  <si>
    <t>HD+ series 4MP IR outdoor dome camera, AHD or CVBS formats are available, 2.8 mm fixed lens, Day &amp; Night (ICR), 12VDC, IR distance 20m, IP66/IK10</t>
  </si>
  <si>
    <t>HCV-7020RA</t>
  </si>
  <si>
    <t>HD+ series 4MP IR outdoor dome camera, AHD or CVBS formats are available, 4.0 mm fixed lens, Day &amp; Night (ICR), 12VDC, IR distance 25m, IP66/IK10</t>
  </si>
  <si>
    <t>HCV-7030RA</t>
  </si>
  <si>
    <t>HD+ series 4MP IR outdoor dome camera, AHD or CVBS formats are available, 6.0 mm fixed lens, Day &amp; Night (ICR), 12VDC, IR distance 30m, IP66/IK10</t>
  </si>
  <si>
    <t>HCD-7070RA</t>
  </si>
  <si>
    <t>4MP Analog HD+ Indoor Dome</t>
  </si>
  <si>
    <t>HD+ series 4MP IR indoor dome camera, AHD or CVBS formats are available, manual varifocal Lens (3.1X) (3.2-10mm), Day &amp; Night (ICR), 24VAC/12VDC, IR distance 20m</t>
  </si>
  <si>
    <t>HCD-7010RA</t>
  </si>
  <si>
    <t>HD+ series 4MP IR indoor dome camera, AHD or CVBS formats are available, 2.8 mm fixed lens, Day &amp; Night (ICR), 12VDC, IR distance 20m</t>
  </si>
  <si>
    <t>HCD-7020RA</t>
  </si>
  <si>
    <t>HD+ series 4MP IR indoor dome camera, AHD or CVBS formats are available, 4.0 mm fixed lens, Day &amp; Night (ICR), 12VDC, IR distance 25m</t>
  </si>
  <si>
    <t>HCD-7030RA</t>
  </si>
  <si>
    <t>HD+ series 4MP IR indoor dome camera, AHD or CVBS formats are available, 6.0 mm fixed lens, Day &amp; Night (ICR), 12VDC, IR distance 30m</t>
  </si>
  <si>
    <t>HCB-7000A</t>
  </si>
  <si>
    <t>4MP Analog HD+ Box</t>
  </si>
  <si>
    <t>HD+ series analogue box camera, 4MP, AHD, Manual focus, AHD/CVBS/RS-485, BLC/HLC/DWDR, True Day &amp; Night (ICR),  Motion detection, Transmission disctance upto 500m, 24VAC/12VDC     ※ The lens is not included</t>
  </si>
  <si>
    <t>HCB-7000PHA</t>
  </si>
  <si>
    <t>HD+ series analogue box camera, 4MP, AHD, Manual focus, AHD/CVBS/RS-485, BLC/HLC/DWDR, True Day &amp; Night (ICR),  Motion detection, Transmission disctance upto 500m, 230VAC     ※ The lens is not included</t>
  </si>
  <si>
    <t>HCO-6080R</t>
  </si>
  <si>
    <t>2MP Analog HD+ IR Bullet</t>
  </si>
  <si>
    <t>HD+ series 2MP, Full HD(1080p) 30fps IR outdoor bullet camera, AHD/TVI/CVI/CVBS, motorized varifocal lens (3.1X) (3.2-10mm), 120 dB true WDR, Day &amp; Night (ICR), 24VAC/12VDC, IR distance 30m, IP66/IK10</t>
  </si>
  <si>
    <t>HCO-6080</t>
  </si>
  <si>
    <t>2MP Analog HD+ Bullet</t>
  </si>
  <si>
    <t>HD+ series 2MP, Full HD(1080p) 30fps outdoor bullet camera, AHD/TVI/CVI/CVBS, motorized varifocal lens (3.1X) (3.2-10mm), 120 dB true WDR, Day &amp; Night (ICR), 24VAC/12VDC, IP66/IK10</t>
  </si>
  <si>
    <t>HCO-6070R</t>
  </si>
  <si>
    <t>HD+ series 2MP, Full HD(1080p) 30fps IR outdoor bullet camera, AHD/TVI/CVI/CVBS, manual varifocal Lens (3.1X) (3.2-10mm), 120 dB true WDR, Day &amp; Night (ICR), 24VAC/12VDC, IR distance 30m, IP66/IK10</t>
  </si>
  <si>
    <t>HCO-6020R</t>
  </si>
  <si>
    <t>HD+ series 2MP, Full HD(1080p) 30fps IR outdoor bullet camera, AHD/TVI/CVI/CVBS, Fixed Lens (4mm), 120 dB true WDR, Day &amp; Night (ICR), 12VDC, IR distance 30m, IP66/IK10</t>
  </si>
  <si>
    <t>HCV-6080R</t>
  </si>
  <si>
    <t>2MP Analog HD+ IR Outdoor Dome</t>
  </si>
  <si>
    <t>HD+ series 2MP, Full HD(1080p) 30fps IR outdoor dome camera, AHD/TVI/CVI/CVBS, motorized varifocal lens (3.1X) (3.2-10mm), 120 dB true WDR, Day &amp; Night (ICR), 24VAC/12VDC, IR distance 30m, IP66/IK10</t>
  </si>
  <si>
    <t>HCV-6080</t>
  </si>
  <si>
    <t>2MP Analog HD+ Outdoor Dome</t>
  </si>
  <si>
    <t>HD+ series 2MP, Full HD(1080p) 30fps outdoor dome camera, AHD/TVI/CVI/CVBS, motorized varifocal lens (3.1X) (3.2-10mm), 120 dB true WDR, Day &amp; Night (ICR), 24VAC/12VDC, IP66/IK10</t>
  </si>
  <si>
    <t>HCV-6070R</t>
  </si>
  <si>
    <t>HD+ series 2MP, Full HD(1080p) 30fps IR outdoor dome camera, AHD/TVI/CVI/CVBS, manual varifocal Lens (3.1X) (3.2-10mm), 120 dB true WDR, Day &amp; Night (ICR), 24VAC/12VDC, IR distance 30m, IP66/IK10</t>
  </si>
  <si>
    <t>HCD-6080R</t>
  </si>
  <si>
    <t>2MP Analog HD+ IR Indoor Dome</t>
  </si>
  <si>
    <t>HD+ series 2MP, Full HD(1080p) 30fps IR indoor dome camera, AHD/TVI/CVI/CVBS, motorized varifocal lens (3.1X) (3.2-10mm), 120 dB true WDR, Day &amp; Night (ICR), 24VAC/12VDC, IR distance 20m</t>
  </si>
  <si>
    <t>HCD-6070R</t>
  </si>
  <si>
    <t>HD+ series 2MP, Full HD(1080p) 30fps IR indoor dome camera, AHD/TVI/CVI/CVBS, manual varifocal Lens (3.1X) (3.2-10mm), 120 dB true WDR, Day &amp; Night (ICR), 24VAC/12VDC, IR distance 20m</t>
  </si>
  <si>
    <t>HCD-6010</t>
  </si>
  <si>
    <t>2MP Analog HD+ Indoor Dome</t>
  </si>
  <si>
    <t>HD+ series 2MP, Full HD(1080p) 30fps IR indoor dome camera, AHD/TVI/CVI/CVBS, 2.8 mm fixed lens, 120 dB true WDR, Day &amp; Night (ICR), 12VDC</t>
  </si>
  <si>
    <t>HCD-6020R</t>
  </si>
  <si>
    <t>HD+ series 2MP, Full HD(1080p) 30fps IR indoor dome camera, AHD/TVI/CVI/CVBS, 4.0 mm fixed lens, 120 dB true WDR, Day &amp; Night (ICR), 12VDC, IR distance 20m</t>
  </si>
  <si>
    <t>HCB-6001</t>
  </si>
  <si>
    <t>2MP Analog HD+ Box</t>
  </si>
  <si>
    <t>HD+ series analogue box camera, 2MP, Full HD(1080p) resolution, Simple focus, AHD/CVBS/RS-485, 120 dB WDR, True Day &amp; Night (ICR), Motion detection,Transmission distance up to 500m, 24VAC/12VDC     ※ The lens is not included</t>
  </si>
  <si>
    <t>HCB-6000</t>
  </si>
  <si>
    <t>HD+ series analogue box camera, 2MP, Full HD(1080p) resolution, Manual focus, AHD/CVBS/CCP/TCP/RS-485, 120 dB WDR, True Day &amp; Night (ICR),  Motion detection, Transmission distance up to 500m, 24VAC/12VDC     ※ The lens is not included</t>
  </si>
  <si>
    <t>HCB-6000PH</t>
  </si>
  <si>
    <t>HD+ series analogue box camera, 2MP, Full HD(1080p) resolution, Manual focus, AHD/CVBS/CCP/TCP/RS-485, 120 dB WDR, True Day &amp; Night (ICR),  Motion detection, Transmission distance up to 500m, 220VAC     ※ The lens is not included</t>
  </si>
  <si>
    <t>DVRs</t>
  </si>
  <si>
    <t>Recording - Analog</t>
  </si>
  <si>
    <t>HRX-835A</t>
  </si>
  <si>
    <t>8CH Pentabrid (AHD, HDTVI, HDCVI, CVBS, IP) Recorder</t>
  </si>
  <si>
    <t>DVR</t>
  </si>
  <si>
    <r>
      <rPr>
        <rFont val="Arial"/>
        <color rgb="FF000000"/>
        <sz val="12.0"/>
      </rPr>
      <t xml:space="preserve">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t>
    </r>
    <r>
      <rPr>
        <rFont val="Arial"/>
        <color rgb="FFFF0000"/>
        <sz val="12.0"/>
      </rPr>
      <t>No HDD included</t>
    </r>
  </si>
  <si>
    <t>HRX-835A-4TB-S</t>
  </si>
  <si>
    <t>8CH Pentabrid (AHD, HDTVI, HDCVI, CVBS, IP) Recorder - 4TB HDD</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</si>
  <si>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4TB Seagate SkyHawk HDD included (ST4000VX016)</t>
  </si>
  <si>
    <t>HRX-835A-6TB-S</t>
  </si>
  <si>
    <t>8CH Pentabrid (AHD, HDTVI, HDCVI, CVBS, IP) Recorder - 6TB HDD</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</si>
  <si>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6TB Seagate SkyHawk HDD included (ST6000VX009)</t>
  </si>
  <si>
    <t>HRX-1635</t>
  </si>
  <si>
    <t>16CH Pentabrid (AHD, HDTVI, HDCVI, CVBS, IP) Recorder</t>
  </si>
  <si>
    <r>
      <rPr>
        <rFont val="Arial"/>
        <color rgb="FF000000"/>
        <sz val="12.0"/>
      </rPr>
      <t xml:space="preserve">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t>
    </r>
    <r>
      <rPr>
        <rFont val="Arial"/>
        <color rgb="FFFF0000"/>
        <sz val="12.0"/>
      </rPr>
      <t>No HDD included</t>
    </r>
  </si>
  <si>
    <t>HRX-1635-4TB-S</t>
  </si>
  <si>
    <t>16CH Pentabrid (AHD, HDTVI, HDCVI, CVBS, IP) Recorder - 4TB HDD</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</si>
  <si>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Seagate SkyHawk HDD included (ST4000VX016)</t>
  </si>
  <si>
    <t>HRX-1634</t>
  </si>
  <si>
    <r>
      <rPr>
        <rFont val="Arial"/>
        <color rgb="FF000000"/>
        <sz val="12.0"/>
      </rPr>
      <t xml:space="preserve">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t>
    </r>
    <r>
      <rPr>
        <rFont val="Arial"/>
        <color rgb="FFFF0000"/>
        <sz val="12.0"/>
      </rPr>
      <t>No HDD included</t>
    </r>
  </si>
  <si>
    <t>HRX-1634-4TB-S</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</si>
  <si>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Seagate SkyHawk HDD included (ST4000VX016)</t>
  </si>
  <si>
    <t>HRX-435</t>
  </si>
  <si>
    <t>4CH Pentabrid (AHD, HDTVI, HDCVI, CVBS, IP) Recorder</t>
  </si>
  <si>
    <r>
      <rPr>
        <rFont val="Arial"/>
        <color rgb="FF000000"/>
        <sz val="12.0"/>
      </rPr>
      <t xml:space="preserve">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t>
    </r>
    <r>
      <rPr>
        <rFont val="Arial"/>
        <color rgb="FFFF0000"/>
        <sz val="12.0"/>
      </rPr>
      <t>No HDD included</t>
    </r>
  </si>
  <si>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</si>
  <si>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</si>
  <si>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Seagate SKyHawk HDD included (ST4000VX016)</t>
  </si>
  <si>
    <t>HRX-435-6TB-S</t>
  </si>
  <si>
    <t>4CH Pentabrid (AHD, HDTVI, HDCVI, CVBS, IP) Recorder - 6TB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</si>
  <si>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6TB Seagate SKyHawk HDD included (ST6000VX009)</t>
  </si>
  <si>
    <t>HRX-435-12TB-S</t>
  </si>
  <si>
    <t>4CH Pentabrid (AHD, HDTVI, HDCVI, CVBS, IP) Recorder - 2x 6TB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</si>
  <si>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2x 6TB Seagate SKyHawk HDD included (ST6000VX009)</t>
  </si>
  <si>
    <t>HRX-434</t>
  </si>
  <si>
    <r>
      <rPr>
        <rFont val="Arial"/>
        <color rgb="FF000000"/>
        <sz val="12.0"/>
      </rPr>
      <t xml:space="preserve">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t>
    </r>
    <r>
      <rPr>
        <rFont val="Arial"/>
        <color rgb="FFFF0000"/>
        <sz val="12.0"/>
      </rPr>
      <t>No HDD included</t>
    </r>
  </si>
  <si>
    <t>HRX-434-4TB-S</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</si>
  <si>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Seagate SKyHawk HDD included (ST4000VX016)</t>
  </si>
  <si>
    <t>HRX-434-6TB-S</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</si>
  <si>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6TB Seagate SKyHawk HDD included (ST6000VX009)</t>
  </si>
  <si>
    <t>HRX-420</t>
  </si>
  <si>
    <t>4CH+2CH</t>
  </si>
  <si>
    <r>
      <rPr>
        <rFont val="Arial"/>
        <color rgb="FF000000"/>
        <sz val="12.0"/>
      </rPr>
      <t xml:space="preserve">5-in-1 4CH+2CH (up to 6CH NW) Embeded DVR, Analog HD (max. 8MP), TVI (max. 8MP), CVI (max. 5MP), CVBS, IP (max. 8MP), triple codec H.265/H.264/MJPEG, 8fps@8MP/ 12fps@5MP recording, 1 internal SATA HDD (6TB max), 1CH Audio input/ 1CH Audio output, Coaxial Cable (Pelco-C), HDMI/VGA local dual monitor, SUNAPI, ONVIF, Easy configuration (Setup Wizard, P2P), Smartphone support (iOS &amp; Android), </t>
    </r>
    <r>
      <rPr>
        <rFont val="Arial"/>
        <color rgb="FFFF0000"/>
        <sz val="12.0"/>
      </rPr>
      <t>No HDD included</t>
    </r>
  </si>
  <si>
    <t>HRX-420-2TB</t>
  </si>
  <si>
    <t>4CH Pentabrid (AHD, HDTVI, HDCVI, CVBS, IP) Recorder - 2TB HDD</t>
  </si>
  <si>
    <t>5-in-1 4CH+2CH (up to 6CH NW) Embeded DVR, Analog HD (max. 8MP), TVI (max. 8MP), CVI (max. 5MP), CVBS, IP (max. 8MP), triple codec H.265/H.264/MJPEG, 8fps@8MP/ 12fps@5MP recording, 1 internal SATA HDD (6TB max), 1CH Audio input/ 1CH Audio output, Coaxial Cable (Pelco-C), HDMI/VGA local dual monitor, SUNAPI, ONVIF, Easy configuration (Setup Wizard, P2P), Smartphone support (iOS &amp; Android), 2TB HDD included</t>
  </si>
  <si>
    <t>Lens modules for Multi-Sensor and Box Cameras</t>
  </si>
  <si>
    <t>SLA-T4680</t>
  </si>
  <si>
    <t>4.6mm Lens/Imager straight body for 
XNB-6001 (8.0m cable)</t>
  </si>
  <si>
    <t>1/2.8" 2MP CMOS with a 4.6mm fixed lens module for XNB-6001, FoV: H: 73˚, V: 39˚, 0.06Lux, WDR (120dB), Electrical Day&amp;Night</t>
  </si>
  <si>
    <t>SLA-T4680V</t>
  </si>
  <si>
    <t>4.6mm Lens/Imager right angle body for 
XNB-6001 (8.0m cable)</t>
  </si>
  <si>
    <t>SLA-T2480</t>
  </si>
  <si>
    <t>2.4mm Lens/Imager straight body for 
XNB-6001 (8.0m cable)</t>
  </si>
  <si>
    <t>1/2.8" 2MP CMOS with a 2.4mm fixed lens module for XNB-6001, FoV: H: 138˚, V: 73˚, 0.45Lux, WDR (120dB), Electrical Day&amp;Night</t>
  </si>
  <si>
    <t>SLA-T2480V</t>
  </si>
  <si>
    <t>2.4mm Lens/Imager right angle body for 
XNB-6001 (8.0m cable)</t>
  </si>
  <si>
    <t>SLA-T1080F</t>
  </si>
  <si>
    <t>1.6mm Lens/Imager straight body for 
XNB-6001 (8.0m cable)</t>
  </si>
  <si>
    <t>1/2.8" 2MP CMOS with a 1.6mm fixed lens module for XNB-6001, FoV: H: 187˚, V: 113.9˚, 0.03Lux, WDR (120dB), Electrical Day&amp;Night</t>
  </si>
  <si>
    <t>SLA-T4680A</t>
  </si>
  <si>
    <t>4.6mm Lens/Imager straight body for 
PNM-9000QB (8.0m cable)</t>
  </si>
  <si>
    <t>1/2.8" 2MP CMOS with a 4.6mm fixed lens module for PNM-9000QB, XNB-6002, FoV: H: 73˚, V: 39˚, 0.06Lux, WDR (120dB), Electrical Day&amp;Night</t>
  </si>
  <si>
    <t>SLA-T4680VA</t>
  </si>
  <si>
    <t>4.6mm Lens/Imager right angle body for 
PNM-9000QB (8.0m cable)</t>
  </si>
  <si>
    <t>SLA-T2480A</t>
  </si>
  <si>
    <t>2.4mm Lens/Imager straight body for 
PNM-9000QB (8.0m cable)</t>
  </si>
  <si>
    <t>1/2.8" 2MP CMOS with a 2.4mm fixed lens module for PNM-9000QB, XNB-6002, FoV: H: 138˚, V: 73˚, 0.45Lux, WDR (120dB), Electrical Day&amp;Night</t>
  </si>
  <si>
    <t>SLA-T2480VA</t>
  </si>
  <si>
    <t>2.4mm Lens/Imager right angle body for 
PNM-9000QB (8.0m cable)</t>
  </si>
  <si>
    <t>SLA-T1080FA</t>
  </si>
  <si>
    <t>1.6mm Lens/Imager straight body for 
PNM-9000QB (8.0m cable)</t>
  </si>
  <si>
    <t>1/2.8" 2MP CMOS with a 1.6mm fixed lens module for PNM-9000QB, XNB-6002, FoV: H: 187˚, V: 113.9˚, 0.03Lux, WDR (120dB), Electrical Day&amp;Night</t>
  </si>
  <si>
    <t>SLA-T4680D</t>
  </si>
  <si>
    <t>Door Jamb Lens (black)</t>
  </si>
  <si>
    <t>2MP Door Jamb Pinhole lens module with a 4.6mm fixed lens, compatible with XNB-6001 (not included), FoV: H: 73˚, V: 39˚, 0.06Lux, WDR (120dB), Electrical Day&amp;Night, black colour</t>
  </si>
  <si>
    <t>SLA-T4680DS</t>
  </si>
  <si>
    <t>Door Jamb Lens (silver)</t>
  </si>
  <si>
    <t>2MP Door Jamb Pinhole lens module with a 4.6mm fixed lens, compatible with XNB-6001 (not included), FoV: H: 73˚, V: 39˚, 0.06Lux, WDR (120dB), Electrical Day&amp;Night, silver colour</t>
  </si>
  <si>
    <t>SLA-T4680DW</t>
  </si>
  <si>
    <t>Door Jamb Lens (white)
Special order ONLY</t>
  </si>
  <si>
    <t>2MP Door Jamb Pinhole lens module with a 4.6mm fixed lens, compatible with XNB-6001 (not included), FoV: H: 73˚, V: 39˚, 0.06Lux, WDR (120dB), Electrical Day&amp;Night, white colour</t>
  </si>
  <si>
    <t>SLA-T2480WA</t>
  </si>
  <si>
    <t>2MP Lens Module</t>
  </si>
  <si>
    <t>1/2.8" 2MP CMOS with a 2.4mm fixed lens module, FoV: H: 138˚, V: 73˚,Color: 0.045Lux(F2.0, 1/30sec, 30IRE)
BW: 0.045Lux(F2.0, 1/30sec, 30IRE) with PNM-9000QB, XNB-6002, Product Dimensions / Weight: ø24x49.8mm(ø0.94x1.96"),
101g(0.22lb), IP66, NEMA 4X, compatible with PNM-9000QB, XNB-6002</t>
  </si>
  <si>
    <t>SLA-T2480WDA</t>
  </si>
  <si>
    <t>2MP Waterproof Dome Lens Module</t>
  </si>
  <si>
    <t>1/2.8" 2MP CMOS with a 2.4mm fixed lens module, FoV: H: 138˚, V: 73˚,Color: 0.045Lux(F2.0, 1/30sec, 30IRE)
BW: 0.045Lux(F2.0, 1/30sec, 30IRE) with PNM-9000QB, XNB-6002, Product Dimensions / Weight: ø110.0x77.0mm(ø3.54x2.36"), 450g(0.99lb), EN IEC 63000, IEC 60529 IP66, IEC 62262 IK10, NEMA 250 type 4X, compatible with PNM-9000QB, XNB-6002</t>
  </si>
  <si>
    <t>SLA-T4680DA</t>
  </si>
  <si>
    <t>2MP Door Jamb Pinhole lens module with a 4.6mm fixed lens, compatible with XNB-6002 (not included), FoV: H: 73˚, V: 39˚, 0.06Lux, WDR (120dB), Electrical Day&amp;Night, Black colour, compatible with PNM-9000QB, XNB-6002, XNB-6001</t>
  </si>
  <si>
    <t>SLA-T4680DSA</t>
  </si>
  <si>
    <t>2MP Door Jamb Pinhole lens module with a 4.6mm fixed lens, compatible with XNB-6002 (not included), FoV: H: 73˚, V: 39˚, 0.06Lux, WDR (120dB), Electrical Day&amp;Night, Silver colour, compatible with PNM-9000QB, XNB-6002, XNB-6001</t>
  </si>
  <si>
    <t>SLA-F1080FA</t>
  </si>
  <si>
    <t>5MP, Straight 1.6mm Lens for PNM-C20000QB</t>
  </si>
  <si>
    <t>5MP @15FPS, 1.6mm fixed lens module, FoV (H:180°,V:145°), Compatible with PNM-C20000QB, Straight body style, 8m (26ft) cable included, Indoor</t>
  </si>
  <si>
    <t>SLA-F2480WA</t>
  </si>
  <si>
    <t>5MP, Straight 2.45mm Outdoor rated lens, for PNM-C20000QB</t>
  </si>
  <si>
    <t>5MP @15fps, Outdoor rated 2.4mm fixed lens module, straight body style, FoV (H:123°, V:91°), Compatible with PNM-C20000QB, 8m (26ft) cable included, IP66, NEMA 4X, IK10, Operating temperature -30°C~+55°C(-22°F ~+131°F)</t>
  </si>
  <si>
    <t>SLA-F2480WDA</t>
  </si>
  <si>
    <t>5MP, Dome style 2.45mm Outdoor rated lens, for PNM-C20000QB</t>
  </si>
  <si>
    <t>5MP @15fps, Outdoor rated 2.4mm fixed lens module, Dome style, FoV (H:123°, V:91°), Compatible with PNM-C20000QB, 8m (26ft) cable included, IP66, NEMA 4X, IK10, Operating temperature -30°C~+55°C(-22°F ~+131°F)</t>
  </si>
  <si>
    <t>SLA-F2480A</t>
  </si>
  <si>
    <t>5MP, Straight 2.45mm Lens for PNM-C20000QB</t>
  </si>
  <si>
    <t>5MP @15fps, 2.45mm fixed lens module, FoV (H:123°,V:91°), Compatible with PNM-C20000QB, Straight body style, 8m (26ft) cable included, Indoor</t>
  </si>
  <si>
    <t>SLA-F2480VA</t>
  </si>
  <si>
    <t>5MP, Right angled 2.45mm Lens for PNM-C20000QB</t>
  </si>
  <si>
    <t>5MP @15fps, 2.45mm fixed lens module, FoV (H:123°,V:91°), Compatible with PNM-C20000QB, Right angle body style, 8m (26ft) cable included, Indoor</t>
  </si>
  <si>
    <t>SLA-F4780A</t>
  </si>
  <si>
    <t>5MP, Straight 4.72mm Lens for PNM-C20000QB</t>
  </si>
  <si>
    <t>5MP @15fps, 4.72mm fixed lens module, FoV (H:70°,V:50°), Compatible with PNM-C20000QB, Straight body style, 8m (26ft) cable included, Indoor</t>
  </si>
  <si>
    <t>SLA-F4780VA</t>
  </si>
  <si>
    <t>5MP, Right angled 4.72mm Lens for PNM-C20000QB</t>
  </si>
  <si>
    <t>5MP @15fps, 4.72mm fixed lens module, FoV (H:70°,V:50°), Compatible with PNM-C20000QB, Right angle body style, 8m (26ft) cable included, Indoor</t>
  </si>
  <si>
    <t>SLA-2M3600Q</t>
  </si>
  <si>
    <t>PNM-9002VQ Lens module</t>
  </si>
  <si>
    <r>
      <rPr>
        <rFont val="Arial"/>
        <color theme="1"/>
        <sz val="12.0"/>
      </rPr>
      <t xml:space="preserve">NDAA Compliant
</t>
    </r>
    <r>
      <rPr>
        <rFont val="Arial"/>
        <color rgb="FFFF0000"/>
        <sz val="12.0"/>
      </rPr>
      <t>EOS
Limited stock available</t>
    </r>
  </si>
  <si>
    <t>1/2.8" 2MP CMOS with a 3.6mm fixed lens module for PNM-9000VQ, FoV: H: 94.8˚, V: 49.3˚, 0.055Lux@F2.0 (Color, B/W), WDR (150dB), Electrical Day&amp;Night, compatible with PNM-9002VQ</t>
  </si>
  <si>
    <t>SLA-5M3700P</t>
  </si>
  <si>
    <t>PNM-9322VQP Lens module</t>
  </si>
  <si>
    <t>1/1.8" 5MP CMOS with a 3.7mm fixed lens module for PNM-9320VQP, FoV: H: 97.5˚, V: 71.9˚, 0.16Lux@F1.6 (Color, B/W), WDR (120dB), Electrical Day&amp;Night, compatible with PNM-9320VQP</t>
  </si>
  <si>
    <t>SLA-5M4600P</t>
  </si>
  <si>
    <t>1/1.8" 5MP CMOS with a 4.6mm fixed lens module for PNM-9320VQP, FoV: H: 77.9˚, V: 57.9˚, 0.16Lux@F1.6 (Color, B/W), WDR (120dB), Electrical Day&amp;Night, compatible with PNM-9320VQP</t>
  </si>
  <si>
    <t>SLA-5M7000P</t>
  </si>
  <si>
    <t>1/1.8" 5MP CMOS with a 7.0mm fixed lens module for PNM-9320VQP, FoV: H: 50.7˚, V: 37.8˚, 0.16Lux@F1.6 (Color, B/W), WDR (120dB), Electrical Day&amp;Night, compatible with PNM-9320VQP</t>
  </si>
  <si>
    <t>SLA-2M2400P</t>
  </si>
  <si>
    <t>1/2.8" 2MP CMOS with a 2.4mm fixed lens module for PNM-9320VQP, FoV: H: 135.4˚, V: 71.2˚, 0.055Lux@F2.0 (Color, B/W), WDR (150dB), Electrical Day&amp;Night, compatible with PNM-9320VQP</t>
  </si>
  <si>
    <t>SLA-2M3600P</t>
  </si>
  <si>
    <t>1/2.8" 2MP CMOS with a 3.6mm fixed lens module for PNM-9320VQP, FoV: H: 94.8˚, V: 49.3˚, 0.055Lux@F2.0 (Color, B/W), WDR (150dB), Electrical Day&amp;Night, compatible with PNM-9320VQP</t>
  </si>
  <si>
    <t>SLA-2M6000P</t>
  </si>
  <si>
    <t>1/2.8" 2MP CMOS with a 6.0mm fixed lens module for PNM-9320VQP, FoV: H: 50.4˚, V: 28.8˚, 0.055Lux@F2.0 (Color, B/W), WDR (150dB), Electrical Day&amp;Night, compatible with PNM-9320VQP</t>
  </si>
  <si>
    <t>SLA-2M1200P</t>
  </si>
  <si>
    <t>1/2.8" 2MP CMOS with a 12.0mm fixed pinhole lens for PNM-9320VQP, FoV: H: 26.3˚, V: 14.9˚, 0.055Lux@F2.0 (Color, B/W), WDR (150dB), Electrical Day&amp;Night, compatible with PNM-9320VQP</t>
  </si>
  <si>
    <t>SLA-M8550D</t>
  </si>
  <si>
    <t xml:space="preserve">Lens, 1/2.8" 8.5-50mm V/F DC Iris CS-Mount </t>
  </si>
  <si>
    <t xml:space="preserve">Lens, 1/2.8", Max. resolution 3MP, varifocal (8.5-50.0mm), Auto DC Iris, CS-Mount </t>
  </si>
  <si>
    <t>SLA-M2890DN</t>
  </si>
  <si>
    <t>Megapixel DC-iris Lens</t>
  </si>
  <si>
    <t xml:space="preserve">Lens, 1/2.8", Max. resolution 3MP, varifocal (2.8-9.0mm), Auto DC Iris, CS-Mount </t>
  </si>
  <si>
    <t>SLA-M2890PN</t>
  </si>
  <si>
    <t>Megapixel P-iris Lens</t>
  </si>
  <si>
    <t xml:space="preserve">Lens, 1/2.8", Max. resolution 3MP, varifocal (2.8-9.0mm), Auto P Iris, CS-Mount </t>
  </si>
  <si>
    <t>Accessories</t>
  </si>
  <si>
    <t>SPI-50</t>
  </si>
  <si>
    <t>IR Illuminators for the TNU-6320 (discontinued) and TNU-6321</t>
  </si>
  <si>
    <t>IR emitter up to 200m (656 feet), 25˚ IR angle, 850nm wave length, 24VAC, IP67, -40°C ~ +60°C (-40°F ~ 140°F). Compatible with the TNU-6320 (discontinued) and TNU-6321 * 2 IR Illuminator body and mounting bracket included</t>
  </si>
  <si>
    <t>SPM-4210</t>
  </si>
  <si>
    <t>I/O box</t>
  </si>
  <si>
    <t>Network I/O Box for PTZ plus, 4-configurable I/O ports, Audio I/O, PoE. Compatible with XNP-9300RW/9250R/9250 XNP-8300RW/8250R/8250, XNP-6400RW/6400R/6400</t>
  </si>
  <si>
    <t>SPO-6011</t>
  </si>
  <si>
    <t>PoE injector - 60W</t>
  </si>
  <si>
    <t>60W HPoE Injector, Fully compliant with IEEE802.3af/at/bt, PoE++, Built-in SFP slot, Compatible with XNP-9250R / XNP-8250R / XNP-6400R / TNB-9000</t>
  </si>
  <si>
    <t>SPO-8315</t>
  </si>
  <si>
    <t>PoE injector - 83W</t>
  </si>
  <si>
    <t>83W HPoE Injector, Fully compliant with IEEE802.3af/at/bt, PoE++, Built-in SFP slot, Compatible with XNP-9300RW / XNP-8300RW / XNP-6400RW, PNM-9085RQZ / PNM-9085RQZ1 / PNM-9084RQZ / PNM-9084RQZ1 / PNM-9322VQP / SMT-3221PV / SMT-3231PV / SMT-2721PV / SMT-2731PV / SMT-1031PV / SMT-1031PVW / SMT-2721D</t>
  </si>
  <si>
    <t>SHP-1563FPW</t>
  </si>
  <si>
    <t>In-ceiling Mount</t>
  </si>
  <si>
    <t>Plenum rated PTZ-Plus flush mount, white color. Compatible with XNP-9250/9250R/8250/8250R/6400/6400R, QNP-6320R/6250R, XNP-C6403/C8253/C9253, XNP-C6403R/C8253R/C9253R</t>
  </si>
  <si>
    <t>SHP-1563FW</t>
  </si>
  <si>
    <t>Flush mount</t>
  </si>
  <si>
    <t>PTZ-Plus flush mount, white color. Compatible with XNP-9250/9250R/8250/8250R/6400/6400R, QNP-6320R/6250R, XNP-C6403/C8253/C9253, XNP-C6403R/C8253R/C9253R</t>
  </si>
  <si>
    <t>SHP-1520FW</t>
  </si>
  <si>
    <t>Plastic In-ceiling Flush Mount PTZ cameras. Compatible with XNP-6320/XNP-6321/QNP-6230, White</t>
  </si>
  <si>
    <t>SHP-1680F</t>
  </si>
  <si>
    <t>Polycarbonate In-ceiling Flush Mount for PTZ and Dome cameras. Compatible with XNP-6120H, XNV-6120/6120R/6085, XND-6085/6085V, Ivory</t>
  </si>
  <si>
    <t>SHP-1680FPW</t>
  </si>
  <si>
    <t>Plenum flush mount</t>
  </si>
  <si>
    <t>White color PTZ flush mount. Compatible with HCP-6320/6320A, QNP-6230/6250/6320, XNP-6320/6321/6120H</t>
  </si>
  <si>
    <t>SHP-1680FW</t>
  </si>
  <si>
    <t>Polycarbonate In-ceiling Flush Mount PTZ and Dome cameras. Compatible with XNP-6120H, XNV-6120/6120R/6085, XND-6085/6085V, White</t>
  </si>
  <si>
    <t>SHP-1730FPW</t>
  </si>
  <si>
    <t>Plenum rated In-ceiling mount compatible with:  XNP-C7310R &amp; C9310R</t>
  </si>
  <si>
    <t>SHD-1128FPW</t>
  </si>
  <si>
    <t>Polycarbonate In-ceiling Flush Mount for Dome cameras. Compatible with QND-8021/8011/6021/6011 XND-8040R/8030R/8020R/6020R/6010, White, RAL9003</t>
  </si>
  <si>
    <t>SHD-1198FW</t>
  </si>
  <si>
    <t>Polycarbonate In-ceiling Flush Mount for Dome cameras. Compatible with QND-6070R/6082R/7080R/8080R, HCD-6070R/6080R/7070R/7080R, White</t>
  </si>
  <si>
    <t>SHD-1200FW</t>
  </si>
  <si>
    <t>Lite In-ceiling mount compatible with QNV-C8013R/8023R</t>
  </si>
  <si>
    <t>SHD-1200FPW</t>
  </si>
  <si>
    <t>In-ceilling housing</t>
  </si>
  <si>
    <t>Aluminum in-ceilling housing, compatible with QNV-C8011R/C9011R, QNV-C8012</t>
  </si>
  <si>
    <t>SHD-1201FPW</t>
  </si>
  <si>
    <t xml:space="preserve">Plenum In-ceiling mount compatible with QNV-C8013R/C8023R　</t>
  </si>
  <si>
    <t>SHD-1350P</t>
  </si>
  <si>
    <t>In-Ceiling Housing</t>
  </si>
  <si>
    <t>In-ceiling Retrofit Spacer, Compatible with SHD-3000F4 (In-ceiling Mount) / XND-6083RV, PND-A6081RV</t>
  </si>
  <si>
    <t>SHD-1350FPW</t>
  </si>
  <si>
    <t>Aluminum In-Ceiling Housing, RAL9003, Compatible with XND-6083RV/8083RV/8093RV/9083RV
XND-8093RV/9083RV</t>
  </si>
  <si>
    <t>SHD-1370FPW</t>
  </si>
  <si>
    <t>Plenum In-ceiling Mount compatible with XNV-6123R, XNV-6083RZ/8083RZ/9083RZ, XNV-6083Z/8083Z, XNV-6083R/8083R/8093R/9083R, XNV-8082R/9082R, PNV-A6081R/A9081R,PNV-A7082RZ/A9082RZ</t>
  </si>
  <si>
    <t>SHD-1372FPW</t>
  </si>
  <si>
    <t>Plenum In-ceiling Mount compatible with PND-A7082RV, PND-A9082RV, PND-A6081R, PND-A9081R, XND-6083RV, XND-8083RV,
XND-8093RV, XND-9083RV</t>
  </si>
  <si>
    <t>SHD-1400FPW</t>
  </si>
  <si>
    <t>In-ceiling mount plenum for QNV-C8083R/C9083R</t>
  </si>
  <si>
    <t>SHD-1400FW</t>
  </si>
  <si>
    <t>In-ceiling mount for QNV-C8083R/C9083R</t>
  </si>
  <si>
    <t>SHD-1408FW</t>
  </si>
  <si>
    <t>Polycarbonate In-ceiling Flush Mount for Dome cameras. Compatible with PND-9080R, XND-6080/6080R/6080RV/6080V/8080R/8080V/8080RV/L6080R/L6080RV/L6080V, HCV-6070R/6080/6080R/7070R/7080R, QNV-6082R1, White</t>
  </si>
  <si>
    <t>SHD-1408FPW</t>
  </si>
  <si>
    <t>In-ceiling Housing</t>
  </si>
  <si>
    <t>Polycarbonate In-ceiling Flush Mount for Dome cameras, White, Compatible with HCD-6080R/7070RA, QND-6082R/8080R, XNV-6010/6020R/8020R/8030R/8040R, HCV-7010RA/7020RA/7030RA/6080R/6070R, LNV-6012R/6022R/6032R/6072R, QNV-6012R/6022R/6032R/6082R/8010R/8020R/8030R/8080r, XND-6080V/6080RV/8080RV, XND-L6080V/6080RV, XNP-6040H</t>
  </si>
  <si>
    <t>SHD-1101FW</t>
  </si>
  <si>
    <t>Lite In-ceiling mount compatible with QND-C8013R/C8023R</t>
  </si>
  <si>
    <t>SHD-1100FPW</t>
  </si>
  <si>
    <t>Plenum In-ceiling mount compatible with QND-C8013R/C8023R</t>
  </si>
  <si>
    <t>SHD-1000F1</t>
  </si>
  <si>
    <t>Lite typed In-ceiling Mount compatible with QNF-9010/8010</t>
  </si>
  <si>
    <t>SHD-1600FPW</t>
  </si>
  <si>
    <t>Polycarbonate In-ceiling Flush Mount for Dome cameras. Compatible with PNV-9080R XNF-9010RV/8010R/8010RV XND-6085/6085V XNV-6085/6120/6120R/8080R/6080R/6080 XNV-L6080R/L6080, White, RAL9003</t>
  </si>
  <si>
    <t>SHD-1600FW</t>
  </si>
  <si>
    <t xml:space="preserve">In-ceiling Mount </t>
  </si>
  <si>
    <t>In-ceiling mount compatible with XND-C6083RV, XND-C7083RV, XND-C8083RV, XND-C9083RV</t>
  </si>
  <si>
    <t>SHD-2000FPW</t>
  </si>
  <si>
    <t>Plenum rated In-ceiling mount compatible with:  PNM-C16013RVQ</t>
  </si>
  <si>
    <t>SHD-2500FPW</t>
  </si>
  <si>
    <t>In-ceiling Mount for PNM-C32083RVQ and PNM-C16083RVQ</t>
  </si>
  <si>
    <t>SHD-2501FPW</t>
  </si>
  <si>
    <t>Plenum In-ceiling Mount</t>
  </si>
  <si>
    <t>Plenum-rated In-ceiling Mount compatible with PNM-C19183RVTP</t>
  </si>
  <si>
    <t>SHD-2510FPW</t>
  </si>
  <si>
    <t>Aluminum In-ceiling Flush Mount for Multisensor cameras. Compatible with PNM-9084QZ1/ PNM-8082VT, White</t>
  </si>
  <si>
    <t>SHD-3000F1</t>
  </si>
  <si>
    <t>Polycarbonate In-ceiling Flush Mount for Dome cameras. Compatible with PNV-9080R, XNV-6080/6080R/L6080/L6080R/8080R, SCD-6081R, SCV-6081R, SND-7084R/7084/6084R/6084/6083/5084R/5084/5083, SNV-7084R/7084/6084R/6084/5084, Ivory</t>
  </si>
  <si>
    <t>SHD-3000F3</t>
  </si>
  <si>
    <r>
      <rPr>
        <rFont val="Arial"/>
        <color theme="1"/>
        <sz val="12.0"/>
      </rPr>
      <t xml:space="preserve">NDAA compliant
</t>
    </r>
    <r>
      <rPr>
        <rFont val="Arial"/>
        <color rgb="FFFF0000"/>
        <sz val="12.0"/>
      </rPr>
      <t>EOS
Limited stock available</t>
    </r>
  </si>
  <si>
    <t>Polycarbonate In-ceiling Flush Mount for Outdoor dome cameras. Compatible with QNV-7080R/6070R, HCV-7070R/7080R/6070R/6080R/6080, SNV-L6083R/L5083R, SCV-5082/5083/5083R/5085, Ivory</t>
  </si>
  <si>
    <t>SHD-3000F4</t>
  </si>
  <si>
    <t>Polycanonate In-ceiling Flush Mount for Indoor Dome cameras. Compatible with PND-9080R, XND-6080/6080R/6080RV/6080V/L6080R/L6080RV/L6080V/8080R/8080RV, Ivory</t>
  </si>
  <si>
    <t>SHP-3701H</t>
  </si>
  <si>
    <t>PTZ Outdoor Housing</t>
  </si>
  <si>
    <t>Outdoor Housing for PTZ cameras, IP66, IK10, Built-in Heater -58°F. Compatible with XNP-6320, QNP-6230, HCP-6320/6320A, SCP-3370/2370/2330/2270/2250/3371/2371/2271, SNP-6200/5200/5300/3371/3302, Ivory</t>
  </si>
  <si>
    <t>SHF-1500F</t>
  </si>
  <si>
    <t>Flush Mount</t>
  </si>
  <si>
    <t>Polycanonate In-ceiling Flush Mount for Fisheye cameras. Compatible with XNF-8010R/RV/RVM, PNF-9010R/RV/RVM, Ivory</t>
  </si>
  <si>
    <t>SBC-140WB</t>
  </si>
  <si>
    <t>Skin cover in black</t>
  </si>
  <si>
    <t>Skin cover in black compatible with TNV-C8011RW</t>
  </si>
  <si>
    <t>SBC-170C</t>
  </si>
  <si>
    <t>Skin cover in silver</t>
  </si>
  <si>
    <t>Skin cover in silver, poly carbonate material, compatible with TNV-8011C</t>
  </si>
  <si>
    <t>SBC-170CW</t>
  </si>
  <si>
    <t>Skin cover in white</t>
  </si>
  <si>
    <t>Skin cover in white, poly carbonate material, compatible with TNV-8011C</t>
  </si>
  <si>
    <t>SBC-170CB</t>
  </si>
  <si>
    <t>Skin cover in black, poly carbonate material, compatible with TNV-8011C</t>
  </si>
  <si>
    <t>SBC-165W</t>
  </si>
  <si>
    <t>skin cover in white</t>
  </si>
  <si>
    <t>Skin cover in white for TID-600R Intercom</t>
  </si>
  <si>
    <t>SBS-165B</t>
  </si>
  <si>
    <t>Back Box</t>
  </si>
  <si>
    <t>Back Box for TID-600R intercom</t>
  </si>
  <si>
    <t>SBS-165TM</t>
  </si>
  <si>
    <t>Tilt Mount</t>
  </si>
  <si>
    <t>Tilt mount in black for TID-600R Intercom</t>
  </si>
  <si>
    <t>SHS-165F</t>
  </si>
  <si>
    <t>Flush Mount with cover</t>
  </si>
  <si>
    <t>Flush mount with two covers (dark gray and white) for TID-600R Intercom</t>
  </si>
  <si>
    <t>SBC-160B</t>
  </si>
  <si>
    <t>Skin Cover</t>
  </si>
  <si>
    <r>
      <rPr>
        <rFont val="Arial"/>
        <color rgb="FF000000"/>
        <sz val="12.0"/>
      </rPr>
      <t xml:space="preserve">Skin cover for Indoor Vandal Dome cameras. Compatible with XND-8081VZ/8081RV/8081REV/6081VZ/6081V/6081RV/6081REV, PND-A9081RV, Black </t>
    </r>
    <r>
      <rPr>
        <rFont val="Arial"/>
        <color rgb="FFFF0000"/>
        <sz val="12.0"/>
      </rPr>
      <t>Pack of 3</t>
    </r>
  </si>
  <si>
    <t>SBC-160BF</t>
  </si>
  <si>
    <r>
      <rPr>
        <rFont val="Arial"/>
        <color rgb="FF000000"/>
        <sz val="12.0"/>
      </rPr>
      <t xml:space="preserve">Skin cover in Black, poly carbonate material, compatible with XNF-9013RV, XNF-9010RV TBD, XNF-8010RV TBD </t>
    </r>
    <r>
      <rPr>
        <rFont val="Arial"/>
        <color rgb="FFFF0000"/>
        <sz val="12.0"/>
      </rPr>
      <t>Pack of 6</t>
    </r>
  </si>
  <si>
    <t>SBC-180B</t>
  </si>
  <si>
    <r>
      <rPr>
        <rFont val="Arial"/>
        <color rgb="FF000000"/>
        <sz val="12.0"/>
      </rPr>
      <t xml:space="preserve">compatible with XNF-9013RV, XNF-9010RV TBD, XNF-8010RV TBD </t>
    </r>
    <r>
      <rPr>
        <rFont val="Arial"/>
        <color rgb="FFFF0000"/>
        <sz val="12.0"/>
      </rPr>
      <t>Pack of 3</t>
    </r>
  </si>
  <si>
    <t>SBC-200B</t>
  </si>
  <si>
    <r>
      <rPr>
        <rFont val="Arial"/>
        <color rgb="FF000000"/>
        <sz val="12.0"/>
      </rPr>
      <t xml:space="preserve">Black Skin Cover for PNM-C16013RVQ </t>
    </r>
    <r>
      <rPr>
        <rFont val="Arial"/>
        <color rgb="FFFF0000"/>
        <sz val="12.0"/>
      </rPr>
      <t>Pack of 3</t>
    </r>
  </si>
  <si>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</si>
  <si>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</si>
  <si>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</si>
  <si>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</si>
  <si>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</si>
  <si>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</si>
  <si>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SBL-101C</t>
  </si>
  <si>
    <t>Remote Head Housing</t>
  </si>
  <si>
    <t>Polycarbonate Remote Head Camera Ceiling Housing, white, RAL9003. Compatible with SLA-T2480, SLA-T2480A, SLA-T4680, SLA-T4680A</t>
  </si>
  <si>
    <t>SBL-100D</t>
  </si>
  <si>
    <t>Remote Head Camera Ceiling Mount Housing. Compatible with SLA-T2480, SLA-T2480A, SLA-T4680, SLA-T4680A, White</t>
  </si>
  <si>
    <t>SBP-099HMW</t>
  </si>
  <si>
    <t>Hanging Mount</t>
  </si>
  <si>
    <t>Aluminum Hanging Mount for Fisheye Cameras. Compatible with QND-8021/8011/6021/6011,
QNF-8010/9010, White</t>
  </si>
  <si>
    <t>SBP-120HMW</t>
  </si>
  <si>
    <t>Hanging Mount, White, plastic cap, compatible with QNV-C8011R/C9011R, QNF-8010/9010, QND-6011/6021, QND-8011/8021</t>
  </si>
  <si>
    <t>SBP-122HM</t>
  </si>
  <si>
    <t>Aluminum Hanging Mount for Dome Cameras. Compatible with QND-7080R/6070R, QNV-7010R/7020R/7030R/6010R/6020R/6030R, XNV-8020R/8030R/8040R/6010/6020R, HCV-7010R/7020R/7030R, Ivory</t>
  </si>
  <si>
    <t>SBP-122HMW</t>
  </si>
  <si>
    <t>Aluminum Hanging mount for Dome cameras. Compatible with QNV-8010R/8020R/8030R/6012R/6022R/6032R, QND-8080R/6082R, LNV-6010R/6020R/6030R, LND-6070R, White,QNV-6012R1/6022R1/6032R1</t>
  </si>
  <si>
    <t>SBP-140HMW</t>
  </si>
  <si>
    <t>Hanging Mount, White, plastic cap, compatible with QNV-C8083R/9083R</t>
  </si>
  <si>
    <t>SBP-125HMW</t>
  </si>
  <si>
    <t>Aluminum Hanging mount for Dome cameras. Compatible with QNE-8011R, QNE-8021R, White</t>
  </si>
  <si>
    <t>SBP-156HMW</t>
  </si>
  <si>
    <t>Aluminum Hanging Mount for Outdoor PTZ cameras. Compatible with XNP-9300RW/9250R/9250/8300RW/8250R/8250/6400RW/6400R/6400, White</t>
  </si>
  <si>
    <t>SBP-156HMWP</t>
  </si>
  <si>
    <t>Hanging Adaptor</t>
  </si>
  <si>
    <t>Aluminum Hanging Mount Housing. Us SNI-1MC or SNI-1MC-PS. SNI Bracket not included.
This also can be used with the SPO-8315, Compatible with PNM-C34404RQPZ</t>
  </si>
  <si>
    <t>SBP-156HMWR</t>
  </si>
  <si>
    <t>Aluminum Hanging Mount Housing. Developed for Fiber Cable Network and Poe Injector.
Us SNI-1MC or SNI-1MC-PS. SNI Bracket not included 
Compatible with XNP-6400/8250/9250,XNP-C6403/C8253/C9253/C7310R/C9310R</t>
  </si>
  <si>
    <t>SBP-160C</t>
  </si>
  <si>
    <t>Mount Hole Cover</t>
  </si>
  <si>
    <r>
      <rPr>
        <rFont val="Arial"/>
        <color rgb="FF000000"/>
        <sz val="12.0"/>
      </rPr>
      <t xml:space="preserve">Mount Plate </t>
    </r>
    <r>
      <rPr>
        <rFont val="Arial"/>
        <color rgb="FFFF0000"/>
        <sz val="12.0"/>
      </rPr>
      <t>Pack of 5</t>
    </r>
    <r>
      <rPr>
        <rFont val="Arial"/>
        <color rgb="FF000000"/>
        <sz val="12.0"/>
      </rPr>
      <t xml:space="preserve"> for SBP-250WMW &amp; SBP-400WMW compatible with XNV-C6083R/C7083R/C8083R/C9083R, XNV-A8084R, XNO-6083R, XNF-9010RV/9013RV, XNF-9010RVM</t>
    </r>
  </si>
  <si>
    <t>SBP-160HMW1</t>
  </si>
  <si>
    <t>Core : Aluminum / Cap : Plastic, White, Supported products : XND-C6083RV/7083RV/8083RV/9083RV, XND-6083RV/8083RV/8093RV/9083RV, PND-A6081RV/9081RV, XNV-C6083R/7083R/8083R/9083R, XNF-9013RV/9010RV, XND-8082RV/9082RV</t>
  </si>
  <si>
    <t>SBP-167HM</t>
  </si>
  <si>
    <t>Aluminum Hanging Mount for Indoor Vandal Dome cameras. Compatible with XND-8081VZ/8081RV/8081REV/6081VZ/6081V/6081RV/6081REV, PND-A9081RV, Ivory</t>
  </si>
  <si>
    <t>SBP-168HM</t>
  </si>
  <si>
    <t>Cap Adapter. Compatible with XNP-6120H, Ivory</t>
  </si>
  <si>
    <t>SBP-180HMW1</t>
  </si>
  <si>
    <t>Core : Aluminum / Cap : Plastic, White, Supported products : XNV-6083R/8083R/8093R/9083R, XNV-6083RZ/8083RZ/9083RZ, XNV-6123R, PNV-A6081R/9081R, XNV-8082R/9082R</t>
  </si>
  <si>
    <t>SBP-187HM</t>
  </si>
  <si>
    <t>Aluminum Hanging Mount for Outdoor Dome cameras. Compatible with XNV-8081Z/8081RE/8081R/6081Z/6081/6081R/6081RE, PNV-A9081RV, Ivory</t>
  </si>
  <si>
    <t>SBP-200HMW</t>
  </si>
  <si>
    <t>Aluminum Hanging Mount, White, compatible with  PNM-C16013RVQ</t>
  </si>
  <si>
    <t>SBP-215C</t>
  </si>
  <si>
    <r>
      <rPr>
        <rFont val="Arial"/>
        <color theme="1"/>
        <sz val="12.0"/>
      </rPr>
      <t xml:space="preserve">Mount Plate </t>
    </r>
    <r>
      <rPr>
        <rFont val="Arial"/>
        <color rgb="FFFF0000"/>
        <sz val="12.0"/>
      </rPr>
      <t>Pack of 5</t>
    </r>
    <r>
      <rPr>
        <rFont val="Arial"/>
        <color theme="1"/>
        <sz val="12.0"/>
      </rPr>
      <t xml:space="preserve"> for SBP-250WMW &amp; SBP-400WMW compatible with PNM-7082RVD/12082RVD, PNM-C7083RVD/C12083RVD</t>
    </r>
  </si>
  <si>
    <t>SBP-215HMW</t>
  </si>
  <si>
    <t>Hanging mount for PNM-C7083RVD/7082RVD and PNM-C12083RVD/12082RVD</t>
  </si>
  <si>
    <t>SBP-250HMW</t>
  </si>
  <si>
    <t>Hanging Cap for PNM-9084QZ / PNM-9084QZ1 / PNM-C16083RVQ / PNM-C32083RVQ, Mount thread size : PF 1 1/2" Male, Aluminum, White</t>
  </si>
  <si>
    <t>SBP-250WMW</t>
  </si>
  <si>
    <t>Wall&amp;Pole Mount</t>
  </si>
  <si>
    <r>
      <rPr>
        <rFont val="Arial"/>
        <color rgb="FF000000"/>
        <sz val="12.0"/>
      </rPr>
      <t xml:space="preserve">Wall Mount White </t>
    </r>
    <r>
      <rPr>
        <rFont val="Arial"/>
        <color rgb="FFFF0000"/>
        <sz val="12.0"/>
      </rPr>
      <t>Pack of 5</t>
    </r>
    <r>
      <rPr>
        <rFont val="Arial"/>
        <color rgb="FF000000"/>
        <sz val="12.0"/>
      </rPr>
      <t xml:space="preserve"> Compatible with 
1. Camera Direct
  : QNV-C8083R/C9083R, XND-C6083RV/C7083RV/C8083RV/C9083RV, XNV-C6083R/C7083R/C8083R/C9083R, XND-6083RV/8083RV/9083RV, XNV-6083R/8083R/8093R/9083R, PNV-A9081R/A6081R/A6081R-E1T/A6081R-E2T, XNV-6083RZ/8083RZ/9083RZ, etc.
2. with SBP-115PA
   : XNP-6400/8250/9250, XNP-6400R/8250R/9250R, XNP-6400RW/8300RW/9300RW, XNP-C6403/C8253/C9253, XNP-C6403R/C8253R/C9253R, XNP-C6403RW/C8303RW/C9303RW, XNP-C7310R/C9310R, QNP-6250R/6320R
3. Hanging Adaptor with SBP-115PFA
  : SBP-099HMW/120HMW/140HMW/160HMW1/180HMW1/200HMW/215HMW/250HMW/315HMW and others
4. Gang Plate
  : SBD-110GP1, SBD-090GP
5. with Mounting Hole Cover (SBP-200C/250C/315C)
  : PNM-C16013RVQ, PNM-C16083RVQ/C32083RVQ, PNM-9084RQZ/9085RQZ and others</t>
    </r>
  </si>
  <si>
    <t>SBP-115PFA</t>
  </si>
  <si>
    <t>Wall&amp;Pole Adaptor</t>
  </si>
  <si>
    <r>
      <rPr>
        <rFont val="Arial"/>
        <color rgb="FF000000"/>
        <sz val="12.0"/>
      </rPr>
      <t xml:space="preserve">1.5" PF Adaptor for Wall&amp;Pole Mount (SBP-250WMW/SBP-400WMW) Compatible with SBP-180HMW1/200HMW/215HMW/250HMW/315HMW </t>
    </r>
    <r>
      <rPr>
        <rFont val="Arial"/>
        <color rgb="FFFF0000"/>
        <sz val="12.0"/>
      </rPr>
      <t>Pack of 3</t>
    </r>
    <r>
      <rPr>
        <rFont val="Arial"/>
        <color rgb="FF000000"/>
        <sz val="12.0"/>
      </rPr>
      <t xml:space="preserve"> </t>
    </r>
  </si>
  <si>
    <t>SBP-115PA</t>
  </si>
  <si>
    <r>
      <rPr>
        <rFont val="Arial"/>
        <color rgb="FF000000"/>
        <sz val="12.0"/>
      </rPr>
      <t xml:space="preserve">3 Pin Adaptor for Wall&amp;Pole Mount (SBP-250WMW/SBP-400WMW) Compatible with XNP-C7310R/C9310R, XNP-C6403/C8253/C9253, XNP-6400/8250/9250 </t>
    </r>
    <r>
      <rPr>
        <rFont val="Arial"/>
        <color rgb="FFFF0000"/>
        <sz val="12.0"/>
      </rPr>
      <t>Pack of 3</t>
    </r>
  </si>
  <si>
    <t>SBP-300HM5</t>
  </si>
  <si>
    <t>Aluminum Hanging Mount for Fisheye and Flateye cameras. Compatible with XNF-8010R/8010RV/8010RVM, PNF-9010R/9010RV/9010RVM, QNE-7080RV/6080RV, Ivory</t>
  </si>
  <si>
    <t>SBP-300HM6</t>
  </si>
  <si>
    <t>Aluminum Hanging Mount for Dome and Multi-Directional cameras. Compatible with PNM-7000VD, PNV-9080R, XNV-8080R/6120/6120R/6085/6080/6080R/L6080/L6080R, XND-6085/6085V, Ivory</t>
  </si>
  <si>
    <t>SBP-300HMS6</t>
  </si>
  <si>
    <t>Stainless steel Hanging Mount for Stainless steel Dome cameras. Compatible with XNV-8080RS/6120RS/6080RS</t>
  </si>
  <si>
    <t>SBP-300HM7</t>
  </si>
  <si>
    <t>SBP-300HMW7</t>
  </si>
  <si>
    <t>Aluminum Hanging Mount for Dome Cameras. Compatible with XNV-6011, QND-8010R/8020R/8030R/6012R/6022R/6032R, LND-6010R/6020R/6030R, QND-6012R1/6022R1,6033R1, White</t>
  </si>
  <si>
    <t>SBP-300HM8</t>
  </si>
  <si>
    <t>Aluminum Hanging Mount for Indoor Dome cameras. Compatible with PND-9080R, XND-8080RV/8080R/6080/6080R/6080V/6080RV/L6080R/L6080V/L6080RV, Ivory</t>
  </si>
  <si>
    <t>SBP-300HMW8</t>
  </si>
  <si>
    <t>Aluminum Hanging Mount for Indoor Dome cameras. Compatible with PND-9080R, XND-8080RV/8080R/6080/6080R/6080V/6080RV/L6080R/L6080V/L6080RV, White</t>
  </si>
  <si>
    <t>SBP-301HMW3</t>
  </si>
  <si>
    <t>Aluminum Hanging Mount for Indoor Dome cameras. Replacing SBP-301HM3 and Compatible with QNP-6230, XNP-6320/6321,HCP-6230/6320/6320A, SCP-3371, SNP-6320/6321/6201/5430/5321/L6233/L5233/5300, SNV-7082/7080R/7080/5080R/5080/3120, White</t>
  </si>
  <si>
    <t>SBP-301HMW2</t>
  </si>
  <si>
    <t>Aluminum Hanging mount for Outdoor Dome Cameras. Compatible with QNV-8080R/6082R/6082R1, LNV-6070R, White</t>
  </si>
  <si>
    <t>SBP-301HM5</t>
  </si>
  <si>
    <t>Aluminum Hanging Mount for Dome and PTZ cameras. Compatible with XNP-6040H, QNV-7080R/6070R, HCV-7070R/6070R/6080R/6080, Ivory</t>
  </si>
  <si>
    <t>SBP-315HMW</t>
  </si>
  <si>
    <t>Aluminum Hanging Mount, Supported products: PNM-9084RQZ/9084RQZ1/9085RQZ/9085RQZ1</t>
  </si>
  <si>
    <t>SBP-200C</t>
  </si>
  <si>
    <t>Mounting Hole Cover</t>
  </si>
  <si>
    <r>
      <rPr>
        <rFont val="Arial"/>
        <color rgb="FF000000"/>
        <sz val="12.0"/>
      </rPr>
      <t xml:space="preserve">Mount Plate </t>
    </r>
    <r>
      <rPr>
        <rFont val="Arial"/>
        <color rgb="FFFF0000"/>
        <sz val="12.0"/>
      </rPr>
      <t>Pack of 5</t>
    </r>
    <r>
      <rPr>
        <rFont val="Arial"/>
        <color rgb="FF000000"/>
        <sz val="12.0"/>
      </rPr>
      <t xml:space="preserve"> for SBP-250WMW &amp; SBP-400WMW compatible with PNM-C16013RVQ</t>
    </r>
  </si>
  <si>
    <t>SBP-250C</t>
  </si>
  <si>
    <r>
      <rPr>
        <rFont val="Arial"/>
        <color rgb="FF000000"/>
        <sz val="12.0"/>
      </rPr>
      <t xml:space="preserve">Mount Plate </t>
    </r>
    <r>
      <rPr>
        <rFont val="Arial"/>
        <color rgb="FFFF0000"/>
        <sz val="12.0"/>
      </rPr>
      <t>Pack of 5</t>
    </r>
    <r>
      <rPr>
        <rFont val="Arial"/>
        <color rgb="FF000000"/>
        <sz val="12.0"/>
      </rPr>
      <t xml:space="preserve"> for SBP-250WMW &amp; SBP-400WMW compatible with PNM-C16083RVQ/C32083RVQ, PNM-8082VT, PNM-9084QZ/QZ1, PNM-9022V, PNM-C9022RV, PNM-9031RV</t>
    </r>
  </si>
  <si>
    <t>SBP-315C</t>
  </si>
  <si>
    <r>
      <rPr>
        <rFont val="Arial"/>
        <color rgb="FF000000"/>
        <sz val="12.0"/>
      </rPr>
      <t xml:space="preserve">Mount Plate </t>
    </r>
    <r>
      <rPr>
        <rFont val="Arial"/>
        <color rgb="FFFF0000"/>
        <sz val="12.0"/>
      </rPr>
      <t>Pack of 5</t>
    </r>
    <r>
      <rPr>
        <rFont val="Arial"/>
        <color rgb="FF000000"/>
        <sz val="12.0"/>
      </rPr>
      <t xml:space="preserve"> for SBP-250WMW &amp; SBP-400WMW compatible with PNM-9084RQZ/RQZ1, PNM-9085RQZ/RQZ1</t>
    </r>
  </si>
  <si>
    <t>SBP-120WM</t>
  </si>
  <si>
    <t>Wall Mount</t>
  </si>
  <si>
    <t>Plastic Wall mount for Indoor dome cameras. Compatible with XND-6010/6020R/8020R/8030R/8040R, QND-7080R/7030R/7020R/7010R/6070R/6030R/6020R/6010R, HCD-7020R/7030R/7070R, SND-L6083R/L6014R/L6013R/L6013/L6012/L5083R/L5013, SCD-6083R/6023R/6021/5083R/5083/5082/5080, Ivory</t>
  </si>
  <si>
    <t>SBP-120WMW</t>
  </si>
  <si>
    <t>Plastic Wall mount for Indoor dome nad Fisheye cameras. Compatible with QNF-8010/9010, QND-8080R/8010R/8011/8020R/8021/8030R/6082R/6011/6012R/6021/6022R/6032R, QND-6012R1/6022R1/6032R1/6082R1White</t>
  </si>
  <si>
    <t>SBP-125WMW1</t>
  </si>
  <si>
    <t>Plastic/Aluminium Wall mount (Body- Aluminum, Cover- Polycarbonate), White, Compatible with QNV-C8011R/C8012/C9011R, QND-6011/6021/8011/8021, QND-6012R/22R, QND-6072R/82R, QNE-8011R/21R, LND-6012R/22R/72R, QND-7012R/22R/82R</t>
  </si>
  <si>
    <t>SBP-137WM</t>
  </si>
  <si>
    <t>Plastic/Aluminum Wall mount for Outdoor dome cameras. Compatible with  XNV-6010/6020R/8020R/8030R/8040R, QNV-6010R/6020R/6030R/6070R/7010R/7020R/7030R/7080R, HCV-6080R/6080/6070R/7010R/7020R/7030R/7070R, SNV-L5083R/L6083R, SCV-5082/5082R/5083/5083R/5085/6023R/6083R, Ivory</t>
  </si>
  <si>
    <t>SBP-137WMW</t>
  </si>
  <si>
    <t>Plastic/Aluminum Wall mount for Outdoor dome cameras. Compatible with QNV-6012R/6022R/6032R/6082R/8010R/8020R/8030R/8080R, White</t>
  </si>
  <si>
    <t>SBP-137WM1</t>
  </si>
  <si>
    <t>SBP-137WMW1</t>
  </si>
  <si>
    <t>Plastic/Aluminum Wall mount for Outdoor dome cameras. Compatible with QNV-6012R/6022R/6032R/6082R/6082R1/8010R/8020R/8030R/8080R, White</t>
  </si>
  <si>
    <t>SBP-156WMW</t>
  </si>
  <si>
    <t>Aluminum Wall mount for Outdoor dome cameras, White.
Compatible with XNP-9300RW/9250R/9250/8300RW/8250R/8250/6400RW/6400R/6400</t>
  </si>
  <si>
    <t>SBP-187WMW</t>
  </si>
  <si>
    <t>Wall &amp; Pole Mount for (TNO-7180RLP) High Speed Global shutter LPR camera (Steel strap sold separately)</t>
  </si>
  <si>
    <t>SBD-110GPA</t>
  </si>
  <si>
    <t>Installation Kit</t>
  </si>
  <si>
    <t>Installation kit for TNV-C8014RM &amp; TNV-C8034RM, includes mount plate and M12 to RJ45 adapter</t>
  </si>
  <si>
    <t>SBD-150GP</t>
  </si>
  <si>
    <t>Adapter Plate</t>
  </si>
  <si>
    <t>Adapter plate for Double, 4" Octagon, 4" Square compatible with QNV-6082R/6082R1/6084R/7082R/6072R/6072R1/7082R/8080R, XNP-6040HW, ACV-8080R/8081R, ANV-L6082R/7082R, QNV-C9083R/C8083R/C6083R</t>
  </si>
  <si>
    <t>SBP-156WA</t>
  </si>
  <si>
    <t>PTZ Plus Adaptor</t>
  </si>
  <si>
    <t>PTZ adaptor. Compatible with XNP-6400RW, XNP-8300RW, XNP-9300RW</t>
  </si>
  <si>
    <t>SBP-060S</t>
  </si>
  <si>
    <t>Steel Strap</t>
  </si>
  <si>
    <t>Stainless steel mount strap (QTY of 2) for a wall/pole mount: Length: 600mm (23.6"), Width : 12.6mm (0.5")</t>
  </si>
  <si>
    <t>SBP-060BA</t>
  </si>
  <si>
    <t>Conduit Hole Adaptor</t>
  </si>
  <si>
    <t>Conduit Hole Adaptor, Aluminum, Dimensions: 54.1x43.5x40mm (2.13x1.72x1.57”), Weight: 27g (0.06lb), Conduit hole: 19.1mm(3/4”)(M25), White, compatible with QNV-C8083R/C9083R, XNO-C6083R/C7083R/C8083R/C9083R, PNM-C16013RVQ</t>
  </si>
  <si>
    <t>SBP-150S</t>
  </si>
  <si>
    <t>Stainless steel mount strap (QTY of 2) for wall pole mount: Length: 1,500mm (59.1"), Width : 12.6mm (0.5")</t>
  </si>
  <si>
    <t>SBE-100WM</t>
  </si>
  <si>
    <t>Wall Mount for Explosion-proof Cameras, compatible with TNO-6322ER, TNU-6322E and TNU-6322ER</t>
  </si>
  <si>
    <t>SBP-300WM</t>
  </si>
  <si>
    <t>Gooseneck Wall Mount. Compatible with XNP-6371RH/6370RH/6320H, SHP-3701H, SCP-3430H/2430H/3370TH/3370H/2370TH/2370H/3250H/2250H/3120VH, SNP-5430H/6320H/6320RH/5200H/3302H/6321H/5321H/L6233H/L5233H/L6233RHH/3371TH/3371H/3120VH, All Hanging Mounts, Ivory</t>
  </si>
  <si>
    <t>SBP-300WMW</t>
  </si>
  <si>
    <t>Gooseneck Wall Mount. Compatible with XNP-6371RH/6370RH/6320H, SHP-3701H, SCP-3430H/2430H/3370TH/3370H/2370TH/2370H/3250H/2250H/3120VH, SNP-5430H/6320H/6320RH/5200H/3302H/6321H/5321H/L6233H/L5233H/L6233RHH/3371TH/3371H/3120VH, QNV-6012R1/6022R1/6032R1/6082R1,QND-6012R1/6022R1/6032R1/6082R1,  All Hanging Mounts, White</t>
  </si>
  <si>
    <t>SBP-300WMS</t>
  </si>
  <si>
    <t>Stainless Steel Wall Mount 
(Gooseneck)</t>
  </si>
  <si>
    <t>Stainless Steel Gooseneck Wall Mount. Compatible with XNP-6320HS, XNV-6080RS/8080RS/6120RS (need to purchase a separate cap SBP-300HMS6 for the dome cameras)</t>
  </si>
  <si>
    <t>SBP-300WM1</t>
  </si>
  <si>
    <t>Wall Mount, Compatible with SCP-3430H/2430H, SCP-3370TH/3370H, SCP-2370TH/2370H, SCP-3250H/2250H, SCP-3120VH, SNP-5430H/6320H/6320RH, SNP-5200H/3302H, SNP-6321H/5321H/SNP-L6233H/L5233H/L6233RHH/SNP-3371TH/3371H,SNP-3120VH, All caps except SBP-329HM, SHP-3701H</t>
  </si>
  <si>
    <t>SBP-300WMW1</t>
  </si>
  <si>
    <t>Aluminum Wall Mount compatible with XNV-6081/XNV-8081/XND-6081V /XND-8081V, QNV-6012R1/6022R1/6032R1/6082R1, QND-6012R1/6022R1/6032R1/6082R1 and white hanging caps, White</t>
  </si>
  <si>
    <t>SBP-300WMS1</t>
  </si>
  <si>
    <t>Stainless Steel Wall Mount</t>
  </si>
  <si>
    <t>Stainless Steel wall mount for PTZ XNP-6320HS and dome XNV-6080RS, XNV-8080RS, XNV-6120RS (need to purchase a separate cap SBP-300HMS6 for the dome cameras)</t>
  </si>
  <si>
    <t>SBP-390WM2</t>
  </si>
  <si>
    <t>Aluminum Wall mount compatible with PNM-7000VD/9000VQ/9020V/9030V/9080VQ/9081VQ/9320VQP, Ivory</t>
  </si>
  <si>
    <t>SBP-400WMW</t>
  </si>
  <si>
    <t>Outdoor Wall &amp; Pole Mount</t>
  </si>
  <si>
    <t>Wall &amp; Pole Mount (White) Compatible with SBP-200C, SBP-250C, SBP-315C, SBP-115PFA, SBP-115PA, SPO-8315, SPO-6011</t>
  </si>
  <si>
    <t>SBU-500PM</t>
  </si>
  <si>
    <t>Pole Mount</t>
  </si>
  <si>
    <t>Pole Mount compatible with SBU-500WM</t>
  </si>
  <si>
    <t>SBU-500WM</t>
  </si>
  <si>
    <t>Wall Mount for the TNU-6320 (discontinued) and TNU-6321</t>
  </si>
  <si>
    <t>Wall mount for the TNU-6320 (discontinued) and TNU-6321, Colour: White, Material: Aluminium</t>
  </si>
  <si>
    <t>SBP-300NB</t>
  </si>
  <si>
    <t>Installation Box</t>
  </si>
  <si>
    <t>Installation Back box compatible with SBP-300WM, SBP-300WM1, SBP-300KM, SBP-300PM, IP66, Ivory</t>
  </si>
  <si>
    <t>SBP-300NBW</t>
  </si>
  <si>
    <t>Installation Back box compatible with SBP-300WMW, SBP-300WMW1, SBP-300KMW, SBP-300PMW, IP66, QNV-6012R1/6022R1/6032R1/6082R1, QND-6012R1/6022R1/6032R1/6082R1White</t>
  </si>
  <si>
    <t>SBP-300B</t>
  </si>
  <si>
    <t>Mount Base</t>
  </si>
  <si>
    <t>Wall Mount Base compatible with Mounts SBP-300WM/300WM1, Ivory</t>
  </si>
  <si>
    <t>SBP-300BW1</t>
  </si>
  <si>
    <t>Wall Mount Bracket</t>
  </si>
  <si>
    <t>Top Mount Bracket, Aluminum, White, weight 700g(1.54lb), compatible with TNO-7180RLP</t>
  </si>
  <si>
    <t>SBP-156LMW</t>
  </si>
  <si>
    <t>Parapet Mount</t>
  </si>
  <si>
    <t>Aluminum Parapet Mount for Outdoor PTZ PLUS cameras. Compatible with XNP-9300RW/9250R/9250/ 8300RW/8250R/8250/6400RW/6400R/6400, White</t>
  </si>
  <si>
    <t>SBP-156LMW1</t>
  </si>
  <si>
    <t>Telescopic Parapet Mount</t>
  </si>
  <si>
    <t>Aluminum Telescopic Parapet Mount, cameras. Dimensions: 835 ~ 1098x1000x95mm (32.9~43.2x39.4x3.8"), Compatible with any 1.5 NOT mounts, White, RAL9003</t>
  </si>
  <si>
    <t>SBP-300LM</t>
  </si>
  <si>
    <t>Parapet Mount Accessory, compatible with all full size outdoor PTZs and all caps, Ivory color</t>
  </si>
  <si>
    <t>SBP-300LMW</t>
  </si>
  <si>
    <t>Aluminum Parapet Mount Accessory, QNV-6012R1/6022R1/6032R1/6082R1, White</t>
  </si>
  <si>
    <t>SBP-300PM1</t>
  </si>
  <si>
    <t>Pole Mount Adaptor</t>
  </si>
  <si>
    <t>Pole Mount Adaptor, aluminium, XNV-6120R, ivory</t>
  </si>
  <si>
    <t>SBP-300PMW2</t>
  </si>
  <si>
    <t>Pole Mount Bracket, Aluminum, White, compatible with QNV-6012R1/6022R1/6032R1/6082R1,QND-6012R1/6022R1/6032R1/6082R1 and TNO-7180RLP</t>
  </si>
  <si>
    <t>SBB-300PMW1</t>
  </si>
  <si>
    <t>Pole Mount Adaptor, aluminium, Compatible with SHB-4200H, SHB-4300HP, SHB-4301H2, SBP-300PMW1, White</t>
  </si>
  <si>
    <t>SBP-300PMS</t>
  </si>
  <si>
    <t>Stainless Steel Pole 
Mount Adaptor</t>
  </si>
  <si>
    <t>Stainless Steel Pole mount adaptor, Compatible with SBP-300WMS and SBP-300WMS1</t>
  </si>
  <si>
    <t>SBP-302PM</t>
  </si>
  <si>
    <t>Pole Mount Base</t>
  </si>
  <si>
    <t>Pole Mount Adapter compatible with SBO-100B1, PNO-9080R, SNO-8081R, QNO-7080R/6070R, QNO-7010R/7020R/7030R/6010R/6020R/6030R, QNO-6012R1/6022R1/6032R1</t>
  </si>
  <si>
    <t>SBP-303PM</t>
  </si>
  <si>
    <t>Pole mount adapter accessory for thermal bullet cameras, compatible with TNO-4040T, TNO-4030T, TNO-4050T, TNO-4030TR, TNO-4040TR, TNO-3010T/3020T/3030T</t>
  </si>
  <si>
    <t>SBP-004WMW</t>
  </si>
  <si>
    <t>Wall mount compatible with TNP Rugged PTZ Positioner Cameras (White)</t>
  </si>
  <si>
    <t>SBP-004WMB</t>
  </si>
  <si>
    <t>Wall mount compatible with TNP Rugged PTZ Positioner Cameras (Black)</t>
  </si>
  <si>
    <t>SBP-004PBW</t>
  </si>
  <si>
    <t>Mounting Converter</t>
  </si>
  <si>
    <t>Mounting Converter 4" to 4.75" for TNP Rugged PTZ Positioner Cameras (White)</t>
  </si>
  <si>
    <t>SBP-004PBB</t>
  </si>
  <si>
    <t>Mounting Converter 4" to 4.75" for TNP Rugged PTZ Positioner Cameras (Black)</t>
  </si>
  <si>
    <t>SBP-050NBW</t>
  </si>
  <si>
    <t>Cabinet</t>
  </si>
  <si>
    <t>Installation Cabinet compatible with
1. Camera Direct: QNV-C8083R/C9083R, XND-C6083RV/C7083RV/C8083RV/C9083RV, XNV-C6083R/C7083R/C8083R/C9083R, XND-6083RV/8083RV/9083RV, XNV-6083R/8083R/8093R/9083R
2. SBP-156WMW &amp; SBP-250WMW
3. Misc.: SBV-140BW, SBO-140BW, SBO-090GP, SBD-110GP1, SBP-050PMW
(Max Load 11lbs/5kg)</t>
  </si>
  <si>
    <t>SBP-050PMW</t>
  </si>
  <si>
    <t>Pole Mount for SBP-050NBW included SBP-060S Steel Straps (Max Load  33lbs/15kg)</t>
  </si>
  <si>
    <t>SBD-180PMW</t>
  </si>
  <si>
    <t>Pole Mount (Core: Aluminum, Cap : Plastic),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</si>
  <si>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</si>
  <si>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white, Supported products : QNV-C8083R/C9083R, QNV-C8011R/C8012/C9011R,
QND-6012R(1)/22R(1)/72R(1)/82R(1), QND-7012R/22R/82R, QNE-8011R/21R</t>
  </si>
  <si>
    <t>SBD-140KMB</t>
  </si>
  <si>
    <t>Corner Mount</t>
  </si>
  <si>
    <t>Corner Mount, SUS304, White, Supported products : QNV-C8011R/C8012/C9011R, QNV-C8083R/C9083R, QND-6011/6021, QND-8011/8021, QNF-8010/9010, QND-6012R(1)/6022R(1)/6072R(1)/6082R(1), QND-7012R/7022R/7082R, QNE-8011R/8021R, LND-6012R/6022R/6072R,ANE-L6012R/L7012R</t>
  </si>
  <si>
    <t>SBD-140PMB</t>
  </si>
  <si>
    <t>Pole Mount, SUS304, White, Supported products : QNV-C8011R/C8012/C9011R, QNV-C8083R/C9083R, QND-6011/6021, QND-8011/8021, QNF-8010/9010, QND-6012R(1)/6022R(1)/6072R(1)/6082R(1), QND-7012R/7022R/7082R, QNE-8011R/8021R, LND-6012R/6022R/6072R,ANE-L6012R/L7012R</t>
  </si>
  <si>
    <t>SBD-110GP1</t>
  </si>
  <si>
    <t>Wall Adaptor</t>
  </si>
  <si>
    <t xml:space="preserve">Adaptor plate for Single, Double, 4" Octagon, supported cameras: QNV-C8011R/C8012/C9011R,  QND-6011/21, 8011/21, QNF-8010, 9010, LND-6012R/22R, QND-6012R/22R, 7012R/22R, QNE-8011R/21R, ANE-L6012R, L7012R </t>
  </si>
  <si>
    <t>SBO-090GP</t>
  </si>
  <si>
    <t>Gang plate (for bullet) Adaptor plate for Single, Double, 4" Octagon Compatible with QNO-C8083R / QNO-C9083R / ANO-L6012R / ANO-L6022R / ANO-L6082R / ANO-L7012R / ANO-L7022R / ANO-L7082R</t>
  </si>
  <si>
    <t>SBD-137WMA</t>
  </si>
  <si>
    <t>Wall adaptor plate to make a Q-Core camera compatible with SBP-137WMW and SBP-137WMW1</t>
  </si>
  <si>
    <t>SBE-100PM</t>
  </si>
  <si>
    <t>Pole Mount for Explosion-proof Cameras, compatible with TNO-6322ER, TNU-6322E and TNU-6322ER</t>
  </si>
  <si>
    <t>SBP-156KMW</t>
  </si>
  <si>
    <t>Corner Mount Base</t>
  </si>
  <si>
    <t>Corner Mount Adapter compatible with SBP-156WMW for XNP-9300RW/9250R/9250/8300RW/8250R/8250/6400RW/6400R/6400, White</t>
  </si>
  <si>
    <t>SBP-300KM1</t>
  </si>
  <si>
    <t>Corner Mount Adaptor</t>
  </si>
  <si>
    <t>Corner Mount Adaptor, aluminium, ivory</t>
  </si>
  <si>
    <t>SBP-300KMW1</t>
  </si>
  <si>
    <t>Corner Mount Adaptor, aluminium, QNV-6012R1/6022R1/6032R16082R1, QND-6012R1/6022R1/6032R1/6082R1white</t>
  </si>
  <si>
    <t>SBP-300KMS</t>
  </si>
  <si>
    <t>Stainless Steel Corner 
Mount Adaptor</t>
  </si>
  <si>
    <t>Stainless Steel Corner mount adaptor, Compatible with SBP-300WMS and SBP-300WMS1</t>
  </si>
  <si>
    <t>SBP-156CMW</t>
  </si>
  <si>
    <t>Pendant Mount</t>
  </si>
  <si>
    <t>Aluminum Pendant Mount Accessory. Compatible with XNP-9300RW/9250R/9250/8300RW/8250R/8250/6400RW/6400R/6400 and other accessories with 1-1/2" PF thread, White</t>
  </si>
  <si>
    <t>SBP-302CMBW</t>
  </si>
  <si>
    <t>Ceiling Mount</t>
  </si>
  <si>
    <t>Back box made to fit SBP-302CMW telescopic pendant mount, White color</t>
  </si>
  <si>
    <t>SBP-300CM</t>
  </si>
  <si>
    <t>Aluminum Pendant Mount Accessory, Ivory, Can be used with hanging mount and outdoor PTZ</t>
  </si>
  <si>
    <t>SBP-300CMW</t>
  </si>
  <si>
    <r>
      <rPr>
        <rFont val="Arial"/>
        <color theme="1"/>
        <sz val="12.0"/>
      </rPr>
      <t xml:space="preserve">NDAA Compliant
</t>
    </r>
    <r>
      <rPr>
        <rFont val="Arial"/>
        <color rgb="FFFF0000"/>
        <sz val="12.0"/>
      </rPr>
      <t>EOS
Limited stock available</t>
    </r>
  </si>
  <si>
    <t>Aluminum Ceiling Mount Accessory, can be used with hanging mount and outdoor PTZ, QNV-6012R1/6022R1/6032R1/6082R1, QND-6012R1/6022R1/6032R1/6082R1, White</t>
  </si>
  <si>
    <t>SBP-300CMW1</t>
  </si>
  <si>
    <t>Ceiling Mount, Aluminum, White, compatible with Hanging Adaptors such as SBP-120HMW/140HMW/160HMW1/180HMW1, etc and Pipe extentions such as SBP-C15P, SBP-150CMP/300CMP/900CMP
※ For further compatible models, please visit our website or use Toolbox</t>
  </si>
  <si>
    <t>SBP-900CMW</t>
  </si>
  <si>
    <t>Ceiling Mount, Aluminum, White, compatible with Hanging Adaptors such as SBP-120HMW/140HMW/160HMW1/180HMW1, etc.and Pipe extentions such as SBP-C15P, SBP-150CMP/300CMP/900CMP
※ For further compatible models, please visit our website or use Toolbox</t>
  </si>
  <si>
    <t>SBP-150CMI</t>
  </si>
  <si>
    <t>Ceiling Mount, Aluminum, White, compatible with Hanging Adaptors such as SBP-120HMW/140HMW/160HMW1/180HMW1, etc.
※ For further compatible models, please visit our website or use Toolbox</t>
  </si>
  <si>
    <t>SBP-300CMI</t>
  </si>
  <si>
    <t>SBP-140CMB</t>
  </si>
  <si>
    <t>Ceiling Mount, Aluminum, White, competible with SBP-150CMP, SBP-300CMP, SBP-900CMP etc
※ For further compatible models, please visit our website or use Toolbox</t>
  </si>
  <si>
    <t>SBP-140CMT</t>
  </si>
  <si>
    <t>Tile Grid Ceiling Mount</t>
  </si>
  <si>
    <r>
      <rPr>
        <rFont val="Arial"/>
        <color rgb="FF000000"/>
        <sz val="12.0"/>
      </rPr>
      <t xml:space="preserve">Tile Grid Ceiling Mount </t>
    </r>
    <r>
      <rPr>
        <rFont val="Arial"/>
        <color rgb="FFFF0000"/>
        <sz val="12.0"/>
      </rPr>
      <t>Pack of 4</t>
    </r>
    <r>
      <rPr>
        <rFont val="Arial"/>
        <color rgb="FF000000"/>
        <sz val="12.0"/>
      </rPr>
      <t>, Compatible with QND-6011/6021, QND-8011/8021 QNF-8010/9010, 
QND-6012R/6022R/6082R, QNV-C9011R/C8011R/C8012, 
LND-6012R/6022R/6072R, QNE-8011R/8021R, ANE-L6012R/L7012R/L7012L, 
QNV-C8083R/C9083R, XND-8082RV/9082RV, 
X plus indoor dome, P AI indoor dome</t>
    </r>
  </si>
  <si>
    <t>SBP-180C</t>
  </si>
  <si>
    <r>
      <rPr>
        <rFont val="Arial"/>
        <color rgb="FF000000"/>
        <sz val="12.0"/>
      </rPr>
      <t xml:space="preserve">Mount Plate </t>
    </r>
    <r>
      <rPr>
        <rFont val="Arial"/>
        <color rgb="FFFF0000"/>
        <sz val="12.0"/>
      </rPr>
      <t>Pack of 5</t>
    </r>
    <r>
      <rPr>
        <rFont val="Arial"/>
        <color rgb="FF000000"/>
        <sz val="12.0"/>
      </rPr>
      <t xml:space="preserve"> for SBP-250WMW &amp; SBP-400WMW compatible with XNV-6083R/8083R/9083R, XNV-8082R/9082R, XNV-6083RZ/8083RZ/9083RZ, PNV-A6081R/A9081R, PNV-A7082RZ/A9082RZ</t>
    </r>
  </si>
  <si>
    <t>SBP-180CMB</t>
  </si>
  <si>
    <t>Ceiling Mount, Aluminum, White, competible with SBP-C15P, SBP-150CMP/300CMP/900CMP etc. (Pipe extention can be supported only 1 time)
※ For further compatible models, please visit our website or use Toolbox</t>
  </si>
  <si>
    <t>SBP-180CMS</t>
  </si>
  <si>
    <t>Ball Head Ceiling Mount Base</t>
  </si>
  <si>
    <t>Ball Head Ceiling Mount Base, Aluminum, White, competible with SBP-C15P, SBP-150CMP/300CMP/900CMP etc. (Pipe extention can be supported only 1 time)
※ For further compatible models, please visit our website or use Toolbox</t>
  </si>
  <si>
    <t>SBP-150CMP</t>
  </si>
  <si>
    <t>Ceiling Mount, Aluminum, White, competible with - Base : SBP-140CMB, SBP-180CMB, - Pipe extention : SBP-C15P, SBP-150CMP/300CMP/900CMP
※ Extention should be done with SBP-180CMB
※ For further compatible models, please visit our website or use Toolbox</t>
  </si>
  <si>
    <t>SBP-150NBW</t>
  </si>
  <si>
    <t>Installation Cabinet compatible with
1. Camera Direct: QNV-C8083R/C9083R, XND-C6083RV/C7083RV/C8083RV/C9083RV, XNV-C6083R/C7083R/C8083R/C9083R, XND-6083RV/8083RV/9083RV, XNV-6083R/8083R/8093R/9083R
2. SBP-156WMW , SBP-250WMW, SBP-400WMW
3. Misc.: SBV-140BW, SBO-140BW, SBO-090GP, SBD-110GP1, SBP-150PMW
(Max Load 33lbs/15kg)</t>
  </si>
  <si>
    <t>SBP-150PMW</t>
  </si>
  <si>
    <t>Pole Mount for SBP-150NBW (Max Load 88lbs/40kg)</t>
  </si>
  <si>
    <t>SBP-300CMP</t>
  </si>
  <si>
    <t>Ceiling Mount, Aluminum, White, competible with- Base : SBP-140CMB, SBP-180CMB, - Pipe extention : SBP-C15P, SBP-150CMP/300CMP/900CMP
※ Extention should be done with SBP-180CMB
※ For further compatible models, please visit our website or use Toolbox</t>
  </si>
  <si>
    <t>SBP-300CMTW</t>
  </si>
  <si>
    <t>Telescopic Ceiling Mount</t>
  </si>
  <si>
    <t>Telescopic Ceiling Mount, Aluminum, White, competible Accessories- Hanging Adaptor : SBP-120HMW/140HMW/160HMW1/180HMW1, etc., - Pipe extension : SBP-C15P, SBP-150CMP/300CMP/900CMP
※ For further compatible models, please visit our website or use Toolbox</t>
  </si>
  <si>
    <t>SBP-300CMTS</t>
  </si>
  <si>
    <t>Ball Head Ceiling Mount</t>
  </si>
  <si>
    <t>Ball Head Ceiling Mount, Aluminum, White, compatible with - Hanging Adaptor : SBP-120HMW/140HMW/160HMW1/180HMW1, etc,- Pipe extension : SBP-C15P, SBP-150CMP/300CMP/900CMP
※ For further compatible models, please visit our website or use Toolbox</t>
  </si>
  <si>
    <t>SBP-900CMP</t>
  </si>
  <si>
    <t>SBP-C15P</t>
  </si>
  <si>
    <t>Ceiling Mount base, Aluminum, White, competible with SBP-150CMP, SBP-300CMP, SBP-900CMP
※ For further compatible models, please visit our website or use Toolbox</t>
  </si>
  <si>
    <t>SBP-C35H</t>
  </si>
  <si>
    <t>Ceiling Mount Coupler</t>
  </si>
  <si>
    <r>
      <rPr>
        <rFont val="Arial"/>
        <color rgb="FF000000"/>
        <sz val="12.0"/>
      </rPr>
      <t xml:space="preserve">Ceiling mount coupler (for pipe extension), compatible with SBP-150CMP, SBP-300CMP, SBP-900CMP </t>
    </r>
    <r>
      <rPr>
        <rFont val="Arial"/>
        <color rgb="FFFF0000"/>
        <sz val="12.0"/>
      </rPr>
      <t>Pack of 4</t>
    </r>
  </si>
  <si>
    <t>SBP-C15NP</t>
  </si>
  <si>
    <t>Thread Converter</t>
  </si>
  <si>
    <t>1.5” NPT to PF thread converter, to support compatibility with NPT threaded pipes</t>
  </si>
  <si>
    <t>SBP-C15H</t>
  </si>
  <si>
    <t>1.5” coupler (White)</t>
  </si>
  <si>
    <r>
      <rPr>
        <rFont val="Arial"/>
        <color rgb="FF000000"/>
        <sz val="12.0"/>
      </rPr>
      <t xml:space="preserve">1.5" Coupler (White) </t>
    </r>
    <r>
      <rPr>
        <rFont val="Arial"/>
        <color rgb="FFFF0000"/>
        <sz val="12.0"/>
      </rPr>
      <t>Pack of 4</t>
    </r>
    <r>
      <rPr>
        <rFont val="Arial"/>
        <color rgb="FF000000"/>
        <sz val="12.0"/>
      </rPr>
      <t xml:space="preserve"> compatible with 
Ceiling mount SBP-140CMB, SBP-180CMB, SBP-180CMS
Hanging Adaptor SBP-099HMW, SBP-120HMW, SBP-140HMW, SBP-160HMW1, 
SBP-180HMW1, SBP-200HMW, SBP-250HMW, SBP-315HMW, SBP-156HMW</t>
    </r>
  </si>
  <si>
    <t>SBP-303HF</t>
  </si>
  <si>
    <t>Fiber Optic for PTZ</t>
  </si>
  <si>
    <r>
      <rPr>
        <rFont val="Arial"/>
        <color rgb="FF000000"/>
        <sz val="12.0"/>
      </rPr>
      <t xml:space="preserve">Aluminum Built-in Sfps Install Base for PTZ Cameras XNP-6550RH, XNP-6320H and QNP-6230H,  RJ-45 to Fiber, </t>
    </r>
    <r>
      <rPr>
        <rFont val="Arial"/>
        <color rgb="FFFF0000"/>
        <sz val="12.0"/>
      </rPr>
      <t>4 Weeks lead Time</t>
    </r>
  </si>
  <si>
    <t>SBP-099TMW</t>
  </si>
  <si>
    <t>Tilted Mount Adapter</t>
  </si>
  <si>
    <t>Tilted Wall Mount (Poly Carbonate), Compatible with QNF-8010, QNF-9010</t>
  </si>
  <si>
    <t>SBP-160TM</t>
  </si>
  <si>
    <t>Tilted Wall Mount (Poly Carbonate), 23° Tilt , Compatible with XND-6085/6085V, XNV-6080/R/6085/R/8080R, XNV-L6084/R, PNV-9080R, SNV-8081/8080/7084/R/6084/R/6085R/5084/R, SCV-6081R</t>
  </si>
  <si>
    <t>SBP-160WMW1</t>
  </si>
  <si>
    <t>Wall Mount (Aluminum) , RAL9003; Indoor use only; Compatible with XND-C6083RV/C7083RV/ C8083RV/C9083RV XND-6083RV/8083RV/9083RV XNV-C6083R/C7083R/C8083R/C9083R, XND-8082RV/9082RV, XNF-9010RV/9013RV, PND-A6081RV/A9081RV</t>
  </si>
  <si>
    <t>SBP-140WMW</t>
  </si>
  <si>
    <t>Wall Mount (Aluminum) , RAL9003; Indoor use only; Compatible with QNV-C8083R/9083R, white</t>
  </si>
  <si>
    <t>SBP-142CMW</t>
  </si>
  <si>
    <t>Ceiling Mount compatible with TNMC3620TDR/C3622TDR</t>
  </si>
  <si>
    <t>SBP-142WMW</t>
  </si>
  <si>
    <t>Wall Mount compatible with TNMC3620TDR/C3622TDR</t>
  </si>
  <si>
    <t>SBP-160TMW1</t>
  </si>
  <si>
    <t>Tilted Wall Mount (Poly Carbonate), 23° Tilt , Compatible with PND-A6081RV, PND-A9081RV, XND-6081REV, XND-6081RV, XND-6081V, XND-6081VZ, XND-8081REV, XND-8081RV, XND-8081VZ, XND-8082RV, XND-9082RV, XNF-9010RV, XNF-9010RVM, White</t>
  </si>
  <si>
    <t>SBP-300TM1</t>
  </si>
  <si>
    <t>Tilted Wall Mount (Poly Carbonate), 20° Tilt , Compatible with 5MP fisheye cameras (SNF-8010, SNF-8010VM, XNF-8010R/RV/RVM, PNF-9010R/RV/RVM), Ivory</t>
  </si>
  <si>
    <t>SBF-100B1</t>
  </si>
  <si>
    <t>Fisheye Back Box</t>
  </si>
  <si>
    <t>Aluminum Back box for Fisheye cameras, Compatible with SNF-8010/VM, XNF-8010R/RV/RVM, PNF-9010R/RV/RVM</t>
  </si>
  <si>
    <t>SBF-100BW1</t>
  </si>
  <si>
    <t>SBO-100B1</t>
  </si>
  <si>
    <t>Bullet Back Box</t>
  </si>
  <si>
    <t>Aluminum Back box for bullet cameras, Compatible with QNO-6030R / 6020R / 6010R, QNO-6032R1/ 6022R1/ 6012R1, QNO-7030R / 7020R / 7010R, QNO-7080R/6070R, SNO-L6083R / L5083R, SCO-6083R</t>
  </si>
  <si>
    <t>SBO-147B</t>
  </si>
  <si>
    <t>Aluminum Waterproof Back box for bullet camera, Compatible with QNO-6082R, IP66/IK10, QNO-6012R, QNO-6022R,QNO-6032R, QNO-7082R</t>
  </si>
  <si>
    <t>SBO-147BA</t>
  </si>
  <si>
    <t xml:space="preserve">Cover- Aluminum, Top cover – Polycarbonate Back Box, White, RAL9003, Compatible with XNO-C6083R/C7083R/C8083R/C9083R
</t>
  </si>
  <si>
    <t>SBV-116B</t>
  </si>
  <si>
    <t>Dome back box</t>
  </si>
  <si>
    <t>Dome Back box with knockouts, Compatible with XNV-6011, SNV-6013</t>
  </si>
  <si>
    <t>SBV-136B</t>
  </si>
  <si>
    <t>Dome Back Box</t>
  </si>
  <si>
    <t>Waterproof aluminum backbox with knockout panels, Compatible with XNP-6040H, QNV-7080R, QNV-6070R, HCV-6070R/6080R, HCV-6080, HCV-7070R/7080R, SNV-L6083R, SNV-L5083R, SCV-5082, SCV-5083, SCV-5085, SCV-5083R, SCV-6083R/ 6023R, Ivory</t>
  </si>
  <si>
    <t>SBV-136BW</t>
  </si>
  <si>
    <t>Aluminum backbox with knockout panels, Compatible with QNV-8080R, QNV-6082R/6082R1, White</t>
  </si>
  <si>
    <t>SBV-138TMW</t>
  </si>
  <si>
    <t>Tilt Mount Dome back box, Compatible with QNV-6072R/6082R, QNV-7082R, QNV-8080R
LNV-6072R, White RAL9003</t>
  </si>
  <si>
    <t>SBV-120GW</t>
  </si>
  <si>
    <t>Dome Back box</t>
  </si>
  <si>
    <t>Dome Back box with knockouts, Compatible with QNV-6012R/6022R/6032R, QNV-6012R1/6022R1/6032R1,QNV-8010R/8020R/8030R, White</t>
  </si>
  <si>
    <t>SBV-158G</t>
  </si>
  <si>
    <t>Back Box for Outdoor Vandal Domes, Compatible with PNV-9080R, XNV-6080/R, XNV-8080R, XNV-6120/R, XNV-6085, XNV-L6080/R, SNV-5084/R,SNV-6084/R, SNV-7084/R, SNV-8081R, SNV-8080, Ivory</t>
  </si>
  <si>
    <t>SBV-158GW</t>
  </si>
  <si>
    <t>Back Box for Outdoor Vandal Domes, Compatible with PNV-9080R, XNV-6080/R, XNV-8080R, XNV-6120/R, XNV-6085, XNV-L6080/R, SNV-5084/R,SNV-6084/R, SNV-7084/R, SNV-8081R, SNV-8080, White</t>
  </si>
  <si>
    <t>SBV-160BW</t>
  </si>
  <si>
    <t>Back Box for Indoor Vandal Domes and Fisheye, Compatible with PND-A6081RV, PND-A9081RV, XND-6081REV, XND-6081RV, XND-6081V, XND-6081VZ, XND-8081REV, XND-8081RV, XND-8081VZ, XND-8082RV, XND-9082RV, XNF-9010RV, XNF-9010RVM, White</t>
  </si>
  <si>
    <t>SBV-180BW</t>
  </si>
  <si>
    <t>Back Box for Indoor Domes and Vandal Domes, 
Compatible with XND-C9083RV/C8083RV/C7083RV/C6083RV, XND-C9083R/C8083R/C7083R/C6083R,
XND-9083RV/8093RV/8083RV/6083RV, XNV-9083R/8093R/8083R/6083R,
XND-9082RV/8082RV, XNV-9082R/8082R, White</t>
  </si>
  <si>
    <t>SBV-180WW</t>
  </si>
  <si>
    <t>Waterproof Back Box</t>
  </si>
  <si>
    <t xml:space="preserve">Waterproof Back Box for the white Vandal X-Core and X-Plus cameras
Compatible models include: XNV-6081R / XNV-8081R / XNV-6083R / XNV-8083R / XNV-8093R / XNV-9083R XNV-C6083R / XNV-C7083R / XNV-C8083R / XNV-C9083R </t>
  </si>
  <si>
    <t>SBO-126B</t>
  </si>
  <si>
    <t>Back box for bullet cameras, Compatible with XNO-L6080R</t>
  </si>
  <si>
    <t>SCL-150</t>
  </si>
  <si>
    <t>Lens Cable</t>
  </si>
  <si>
    <t>Extension cable for remote head lens, 15m (49.2Ft), compatible with: PNM-9000QB, SLA-T4680A, SLA-T4680VA, SLA-T2480A, SLA-T2480VA, SLA-T1080FA, SLA-T2880BA, SLA-T4680DA, SLA-T4680DSA</t>
  </si>
  <si>
    <t>SPP-C45W</t>
  </si>
  <si>
    <t>Cable</t>
  </si>
  <si>
    <r>
      <rPr>
        <rFont val="Arial"/>
        <color rgb="FF000000"/>
        <sz val="12.0"/>
      </rPr>
      <t xml:space="preserve">RJ45 type converting cable (Plugin to Pigtail), compatible QNV-6012R(1)/6022R(1)/6072R(1)/6082R(1), QNV-7012R/7022R/7032R/7082R,QNV-8010R/20R/80R, QNV-C6083R/C8083R/C9083R </t>
    </r>
    <r>
      <rPr>
        <rFont val="Arial"/>
        <color rgb="FFFF0000"/>
        <sz val="12.0"/>
      </rPr>
      <t>Pack of 5</t>
    </r>
  </si>
  <si>
    <t>SPP-C45WA</t>
  </si>
  <si>
    <r>
      <rPr>
        <rFont val="Arial"/>
        <color rgb="FF000000"/>
        <sz val="12.0"/>
      </rPr>
      <t xml:space="preserve">RJ45 type converting cable (Plugin to Pigtail), compatible with ANV-L6012R/L6082R, ANV-L7012R/L7082R </t>
    </r>
    <r>
      <rPr>
        <rFont val="Arial"/>
        <color rgb="FFFF0000"/>
        <sz val="12.0"/>
      </rPr>
      <t>Pack of 5</t>
    </r>
  </si>
  <si>
    <t>SPP-C7200</t>
  </si>
  <si>
    <t>Cable for audio/alarm</t>
  </si>
  <si>
    <r>
      <rPr>
        <rFont val="Arial"/>
        <color rgb="FF000000"/>
        <sz val="12.0"/>
      </rPr>
      <t xml:space="preserve">Audio and Alarm cable compatible with QND-C8013R/C8023R </t>
    </r>
    <r>
      <rPr>
        <rFont val="Arial"/>
        <color rgb="FFFF0000"/>
        <sz val="12.0"/>
      </rPr>
      <t>Pack of 3</t>
    </r>
  </si>
  <si>
    <t>SPP-C7400</t>
  </si>
  <si>
    <r>
      <rPr>
        <rFont val="Arial"/>
        <color rgb="FF000000"/>
        <sz val="12.0"/>
      </rPr>
      <t xml:space="preserve">Audio and Alarm cable for TNV-C7013RC, QNV-C8083R/9083R, XNV-C6083R/C7083R/C8083R/C9083R, XND-C6083RV/C7083RV/C8083RV/C9083RV, </t>
    </r>
    <r>
      <rPr>
        <rFont val="Arial"/>
        <color rgb="FFFF0000"/>
        <sz val="12.0"/>
      </rPr>
      <t>Pack of 3</t>
    </r>
  </si>
  <si>
    <t>SPP-C1900</t>
  </si>
  <si>
    <t>HDMI Cable</t>
  </si>
  <si>
    <r>
      <rPr>
        <rFont val="Arial"/>
        <color rgb="FF000000"/>
        <sz val="12.0"/>
      </rPr>
      <t xml:space="preserve">HDMI Cable </t>
    </r>
    <r>
      <rPr>
        <rFont val="Arial"/>
        <color rgb="FFFF0000"/>
        <sz val="12.0"/>
      </rPr>
      <t>Pack of 3</t>
    </r>
    <r>
      <rPr>
        <rFont val="Arial"/>
        <color rgb="FF000000"/>
        <sz val="12.0"/>
      </rPr>
      <t xml:space="preserve"> compatible with QNV-C6083R</t>
    </r>
  </si>
  <si>
    <t>SHB-9000H</t>
  </si>
  <si>
    <t>Fixed Housing</t>
  </si>
  <si>
    <t xml:space="preserve">TNB-9000 Box Camera Housing,  Body/Sun shield : Aluminum, Front &amp; Rear cap : ABS. Wall Mount Arm Included.
Operating Temperature: -50°C ~ +60°C(-58°F ~ +140°F) / 10-100% RH (condensing), Weight: 6.2kg(13.67 lb), Color: White, IP66. Input Voltage 110vac, Thermostat controlled Fan and heater - UL 62368-1 Certified
</t>
  </si>
  <si>
    <t>SHB-4200</t>
  </si>
  <si>
    <t>Dimensions/Weight: 700mm(27.56 inches) /40g(0.09lb)</t>
  </si>
  <si>
    <t>SHB-4200H</t>
  </si>
  <si>
    <t>Outdoor Fixed Camera Housing w/Mounting Bracket, Compatible with all box cameras, Built-in heater and fan, IP66, 24VAC, Ivory</t>
  </si>
  <si>
    <t>SHB-4300H</t>
  </si>
  <si>
    <t>Extreme Weatherproof Aluminum Fixed Camera Housing w/Mounting Bracket, Compatible with all box cameras, Built-in heater and fan, IP66, 24VAC, Ivory</t>
  </si>
  <si>
    <t>SHB-4300H1</t>
  </si>
  <si>
    <t>Extreme Weatherproof Aluminum Fixed Camera Housing w/Mounting Bracket, Compatible with all box cameras, Built-in defroster/heater and fan, IP66, 24VAC, Ivory</t>
  </si>
  <si>
    <t>SHB-4301H2</t>
  </si>
  <si>
    <t>Extreme Weatherproof Aluminum Fixed Camera Housing w/Mounting Bracket, Compatible with all box cameras, Built-in defroster/heater and fan, IP66, 230VAC, Ivory</t>
  </si>
  <si>
    <t>SHB-4301HP</t>
  </si>
  <si>
    <t>Outdoor Fixed Camera Housing w/Mounting Bracket, Compatible with all box cameras, Built-in defroster/heater and fan, IP66, PoE/12VDC, Ivory</t>
  </si>
  <si>
    <t>STB-4150V</t>
  </si>
  <si>
    <t>Box Mount</t>
  </si>
  <si>
    <t>Aluminum Fixed Camera Mount, Compatible with Box cameras, Bracket for STH-500/200, Silver</t>
  </si>
  <si>
    <t>SBV-253WCW</t>
  </si>
  <si>
    <t>Weather Cap</t>
  </si>
  <si>
    <t>Polycarbonate Weather Cap, White, RAL9003, Compatible with PNM-9031RV/PNM-C9022RV/PNM-9022V</t>
  </si>
  <si>
    <t>SBV-120WCW</t>
  </si>
  <si>
    <t>Aluminum Weather cap, Compatible with XNV- 6010/6020/8020R/8030R/8040R, QNV- 6010R/6020R/6030R/7010R/7020R/7030R, White</t>
  </si>
  <si>
    <t>SBV-121WCW</t>
  </si>
  <si>
    <t>Weather Cap Compatible with QNV-C8013R/C8023R</t>
  </si>
  <si>
    <t>SBV-140WCBW</t>
  </si>
  <si>
    <t>Polycarbonate Weather Cap compatible with TNV-C8011RW</t>
  </si>
  <si>
    <t>SBV-160WC</t>
  </si>
  <si>
    <t>Aluminum Weather cap, Compatible with XNV-6080/R/8080R/6120R/L6080/R,PNV-9080R,SNV-8081/8080/7084/R/6084/R/6085R/5084/R, SCV-6081R</t>
  </si>
  <si>
    <t>SBV-161WCW</t>
  </si>
  <si>
    <t xml:space="preserve"> Polycarbonate Weather Cap, White,RAL9003, Compatible with XNV-C6083R/C7083R/C8083R/C9083R
</t>
  </si>
  <si>
    <t>SBV-140TMW</t>
  </si>
  <si>
    <t>Tilt Mount, Aluminum, White, weight 450g(0.99lb),  compatible with QNV-C8083R/C9083R, QNV-C8011R/C8012/C9011R, QND-6011/21, QND-8011/21, QND-6012R/22R/72R/82R, QND-7012R/22R/82R, QNE-8011R/21R</t>
  </si>
  <si>
    <t>SBV-140TBW</t>
  </si>
  <si>
    <t>Tilt Mount for TNV-C8011RW</t>
  </si>
  <si>
    <t>SBV-140BW</t>
  </si>
  <si>
    <t>Back Box, Almunum, White, compatible with QNV-C8083R/C9083R, QNV-C8011R/C8012/C9011R, QND-6011/21, QND-8011/21, QND-6012R/22R/72R/82R, QND-7012R/22R/82R, QNE-8011R/21R</t>
  </si>
  <si>
    <t>SBV-140WW</t>
  </si>
  <si>
    <t>Waterproof Back Box, Almunum, White, compatible with QNV-C8083R/C9083R, QNV-C8011R/C8012/C9011R, QND-6011/6021,QND-8011/8021, QND-6012R/6022R/6082R, QND-7012R/7022R/7082R, QNE-8011R/8021R</t>
  </si>
  <si>
    <t>SBO-140BW</t>
  </si>
  <si>
    <t>Back Box, Almunum, White, weight 390g(0.86lb), Compatible with: QNO-C8083R/C9083R, ANO-L6012R/22R/82R, ANO-L7012R/22R/82R</t>
  </si>
  <si>
    <t>SBO-140WW</t>
  </si>
  <si>
    <t>Waterproof Back Box, Almunum, White, compatible with QNO-C8083R/C9083R, ANO-L6012R/22R/82R, ANO-L7012R/22R/82R</t>
  </si>
  <si>
    <t>SBV-A14B</t>
  </si>
  <si>
    <t>Back Box for A series (ANE-L6012R, ANE-L7012R, ANO-L6012R,ANO-L6022R, ANO-L6082R, ANO-L7012R, ANO-L7022R, ANO-L7082R, ANV-L6012R, ANV-L6082R, ANV-L7012R, ANV-L7082R) and connect cables</t>
  </si>
  <si>
    <t>SBV-215WCW</t>
  </si>
  <si>
    <t>Weather Cap, White, Material: aluminum thread, plastic cap, compatible with PNM-C7083RVD, PNM-C12083RVD and PNM-7082RVD, PNM-12082RVD</t>
  </si>
  <si>
    <t>SBP-SCP/SN</t>
  </si>
  <si>
    <t>Swan Neck Bracket</t>
  </si>
  <si>
    <t>SBP-300NM</t>
  </si>
  <si>
    <t>Mounting accessory</t>
  </si>
  <si>
    <r>
      <rPr>
        <rFont val="Arial"/>
        <color theme="1"/>
        <sz val="12.0"/>
      </rPr>
      <t xml:space="preserve">NDAA Compliant
</t>
    </r>
    <r>
      <rPr>
        <rFont val="Arial"/>
        <color rgb="FFFF0000"/>
        <sz val="12.0"/>
      </rPr>
      <t>EOS
Limited stock available</t>
    </r>
  </si>
  <si>
    <t>Housing and Mount for PVM camera TNB-6030</t>
  </si>
  <si>
    <t>SBE-100B</t>
  </si>
  <si>
    <t>Pedestal Mount</t>
  </si>
  <si>
    <t>Stainless Steel Pedestal Mount for Explosion-proof Cameras, compatible with TNU-6322E and TNU-6322ER</t>
  </si>
  <si>
    <t>SPB-PTZ6</t>
  </si>
  <si>
    <t>Smoked Dome Cover</t>
  </si>
  <si>
    <t>Smoked Dome Cover for Indoor PTZ: XNP-6320/QNP-6230/SNP-6321/6320/5430/5321, SNP-L6233/L5233, SCP-3371/2373/2371/2273/2271</t>
  </si>
  <si>
    <t>SPB-PTZ73</t>
  </si>
  <si>
    <t>Smoked Dome Cover for XNP-6120H</t>
  </si>
  <si>
    <t>SPB-PTZ82W</t>
  </si>
  <si>
    <t>Smoked dome cover for QNP-6250H/6320H</t>
  </si>
  <si>
    <t>SPB-PTZ95W</t>
  </si>
  <si>
    <t>Smoke Dome Cover compatible with XNP-C7310R &amp; XNP-C9310R</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</si>
  <si>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</si>
  <si>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</si>
  <si>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</si>
  <si>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</si>
  <si>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</si>
  <si>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</si>
  <si>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SPB-VAN16W</t>
  </si>
  <si>
    <t>Smoke Dome compatible with QNV-C8011R/C8012/C9011R</t>
  </si>
  <si>
    <t>SPB-VAN14W</t>
  </si>
  <si>
    <t>Smoked dome cover compatible with XNV-6012M/6022RM</t>
  </si>
  <si>
    <t>SPB-VAN23W</t>
  </si>
  <si>
    <t>Smoke Dome Cover</t>
  </si>
  <si>
    <t>Smoke Dome for TNV-C8014RM &amp; TNV-C8034RM</t>
  </si>
  <si>
    <t>SPG-VAN23W</t>
  </si>
  <si>
    <t>Dome Cover</t>
  </si>
  <si>
    <t>Clear Dome for TNV-C8014RM &amp; TNV-C8034RM</t>
  </si>
  <si>
    <t>SPB-VAN72</t>
  </si>
  <si>
    <t>Smoked Dome Cover for QNV-6070R/7080R</t>
  </si>
  <si>
    <t>SPB-VAN82W</t>
  </si>
  <si>
    <t>Smoke Dome for Q AI V/F Compatible with QNV-C6083R/C8083R/C9083R, White</t>
  </si>
  <si>
    <t>SPB-VAN85W</t>
  </si>
  <si>
    <t>Smoked Dome Cover for XNV-6081/6081R/8081R/6081RE/8081RE, PNV-A9081R, White</t>
  </si>
  <si>
    <t>SPB-VAN87W</t>
  </si>
  <si>
    <t>Smoke Dome Cover for PNV-A7082RZ, PNV-A9082RZ, White</t>
  </si>
  <si>
    <t>SPB-VAN88W</t>
  </si>
  <si>
    <t xml:space="preserve">Smoked Dome Cover for XNV-C9083R, XNV-C8083R, XNV-C7083R, XNV-C6083R, White
</t>
  </si>
  <si>
    <t>SPB-VAN89W</t>
  </si>
  <si>
    <t>Vandal Dome Backbox</t>
  </si>
  <si>
    <t>Vandal Dome Backbox, Material : [Top cover] Aluminum + PC / [Dome bubble] Hard-coated Polycarbonate, Color : [Top cover]White / [Dome bubble] Transparent smoked, Supported products: XNV-6083RZ/8083RZ/9083RZ/8083Z/6083Z</t>
  </si>
  <si>
    <t>SPB-FCD85W</t>
  </si>
  <si>
    <t>Smoked Dome Cover for XND-6081F/6081RF/8081RF, PND-A9081RF, White</t>
  </si>
  <si>
    <t>SPB-VAW12</t>
  </si>
  <si>
    <t>Smoked Dome Cover for QNV-6012R/6022R/6032R, QNV-8010R/8020R/8030R, LNV-6012R/6022R/6032R, QNV-6012R1/6022R1/6032R1, White</t>
  </si>
  <si>
    <t>SPB-VAW72</t>
  </si>
  <si>
    <t>Smoked Dome Cover for QNV-6082R/6082R1/8080R,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</si>
  <si>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</si>
  <si>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</si>
  <si>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</si>
  <si>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</si>
  <si>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</si>
  <si>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</si>
  <si>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</si>
  <si>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</si>
  <si>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</si>
  <si>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</si>
  <si>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</si>
  <si>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SPB-IND87W</t>
  </si>
  <si>
    <t>Smoke Dome Cover for PND-A7082RV, PND-A9082RV, White</t>
  </si>
  <si>
    <t>SPB-IND88W</t>
  </si>
  <si>
    <t>Smoked Dome Cover for XND-C9083RV, XND-C8083RV, XND-C7083RV, XND-C6083RV, white</t>
  </si>
  <si>
    <t>SPG-IND12B</t>
  </si>
  <si>
    <t>Black Dome Cover</t>
  </si>
  <si>
    <t>Black Dome Cover with Clear Bubble for QND-6010R/6020R/6030R/7010R/7020R/7030R</t>
  </si>
  <si>
    <t>SPG-IND16B</t>
  </si>
  <si>
    <t>Black Dome Cover with Clear Bubble for QND-6021/6011/8021/8011</t>
  </si>
  <si>
    <t>SPG-IND72B</t>
  </si>
  <si>
    <t>Black Dome Cover with Clear Bubble for QND-6070R, QND-7080R, LND-6071R, LND-6072R</t>
  </si>
  <si>
    <t>SPG-PTZ95W</t>
  </si>
  <si>
    <t>Dome Cover compatible with XNP-C7310R &amp; XNP-C9310R</t>
  </si>
  <si>
    <t>SPG-VAN13W</t>
  </si>
  <si>
    <t>Conduit Dome Cover</t>
  </si>
  <si>
    <t>Conduit dome cover for TNV-C7013RC, White, Aluminum, 198.3x198.6x94mm (7.81x7.82x3.70")</t>
  </si>
  <si>
    <t>SPB-INW12</t>
  </si>
  <si>
    <t>Smoked dome cover for White Q/L fixed indoor domes (LND-6012R/6022R/6032R, QND-6012R/6022R/6032R)</t>
  </si>
  <si>
    <t>SPB-INW72</t>
  </si>
  <si>
    <t>Smoked Dome Cover for LND-6072R, QND-6070R, QND-6082R, QND-6082R1, White</t>
  </si>
  <si>
    <t>SPB-MDC51V</t>
  </si>
  <si>
    <t>Smoked Dome Cover for PNM-9322VQP (PTZ dome only)</t>
  </si>
  <si>
    <t>SPB-MDC41</t>
  </si>
  <si>
    <t>Tinted dome cover for PNM-9084RQZ and PNM-9085RQZ</t>
  </si>
  <si>
    <t>SPB-MDC41V</t>
  </si>
  <si>
    <t xml:space="preserve">Smoke dome compatible with PNM-C19183RVTP　</t>
  </si>
  <si>
    <t>SPB-MDC31</t>
  </si>
  <si>
    <t>Tinted dome cover for PNM-9084QZ and PNM-8083VT</t>
  </si>
  <si>
    <t>SPB-MDC41W</t>
  </si>
  <si>
    <t>Tinted dome cover for PNM-9022V</t>
  </si>
  <si>
    <t>Monitors</t>
  </si>
  <si>
    <t>Monitor</t>
  </si>
  <si>
    <t>SMT-3231PV</t>
  </si>
  <si>
    <t>32” AI PVM Monitor</t>
  </si>
  <si>
    <t>PVM Monitor</t>
  </si>
  <si>
    <r>
      <rPr>
        <rFont val="Arial"/>
        <color rgb="FF000000"/>
        <sz val="12.0"/>
      </rPr>
      <t>32”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t>
    </r>
    <r>
      <rPr>
        <rFont val="Arial"/>
        <b/>
        <color rgb="FFFF0000"/>
        <sz val="12.0"/>
      </rPr>
      <t>Power adapter not included</t>
    </r>
    <r>
      <rPr>
        <rFont val="Arial"/>
        <color rgb="FF000000"/>
        <sz val="12.0"/>
      </rPr>
      <t>***</t>
    </r>
  </si>
  <si>
    <t>SMT-3221PV</t>
  </si>
  <si>
    <t>32” AI PVM Monitor (Non PIP/PBP)</t>
  </si>
  <si>
    <r>
      <rPr>
        <rFont val="Arial"/>
        <color rgb="FF000000"/>
        <sz val="12.0"/>
      </rPr>
      <t>32” AI Enabled IP public view monitor (AI PVM),1080p (1920 x 1080 60Hz), HDMI (x2), Ethernet, 16:9 Aspect Ratio, Built-in speaker (2W x2), Face Detection for Visual Deterrence, AI Analytics, Customizable Banner Overlay Messages, Built-In 2MP IP Camera, 3.06mm Fixed Lens (107.7" H, 59.0V), 120dB WDR, H.265/H.264/MJPEG, Slide Show &amp; Live Video, Micro SD/SDHC/SDXC, VESA Compatible (100x100 / 200x100 / 200x200), Black Cabinet, Hallway View Mode, Portrait and Landscape Display Support, HPoE 802.3bt, DC 24V.  ***</t>
    </r>
    <r>
      <rPr>
        <rFont val="Arial"/>
        <b/>
        <color rgb="FFFF0000"/>
        <sz val="12.0"/>
      </rPr>
      <t>Power adapter not included</t>
    </r>
    <r>
      <rPr>
        <rFont val="Arial"/>
        <color rgb="FF000000"/>
        <sz val="12.0"/>
      </rPr>
      <t>***</t>
    </r>
  </si>
  <si>
    <t>SMT-2731PV</t>
  </si>
  <si>
    <t>27” AI PVM Monitor</t>
  </si>
  <si>
    <r>
      <rPr>
        <rFont val="Arial"/>
        <color rgb="FF000000"/>
        <sz val="12.0"/>
      </rPr>
      <t>27"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t>
    </r>
    <r>
      <rPr>
        <rFont val="Arial"/>
        <b/>
        <color rgb="FFFF0000"/>
        <sz val="12.0"/>
      </rPr>
      <t>Power adapter not included</t>
    </r>
    <r>
      <rPr>
        <rFont val="Arial"/>
        <color rgb="FF000000"/>
        <sz val="12.0"/>
      </rPr>
      <t>***</t>
    </r>
  </si>
  <si>
    <t>SMT-2721PV</t>
  </si>
  <si>
    <t>27” AI PVM Monitor (Non PIP/PBP)</t>
  </si>
  <si>
    <r>
      <rPr>
        <rFont val="Arial"/>
        <color rgb="FF000000"/>
        <sz val="12.0"/>
      </rPr>
      <t>27” AI Enabled IP public view monitor (AI PVM),1080p (1920 x 1080 60Hz), HDMI (x2), Ethernet, 16:9 Aspect Ratio, Built-in speaker (2W x2), Face Detection for Visual Deterrence, AI Analytics, Customizable Banner Overlay Messages, Built-In 2MP IP Camera, 3.06mm Fixed Lens (107.7" H, 59.0V), 120dB WDR, H.265/H.264/MJPEG, Slide Show &amp; Live Video, Micro SD/SDHC/SDXC, VESA Compatible (100x100 / 200x100 / 200x200), Black Cabinet, Hallway View Mode, Portrait and Landscape Display Support, HPoE 802.3bt, DC 24V.  ***</t>
    </r>
    <r>
      <rPr>
        <rFont val="Arial"/>
        <b/>
        <color rgb="FFFF0000"/>
        <sz val="12.0"/>
      </rPr>
      <t>Power adapter not included</t>
    </r>
    <r>
      <rPr>
        <rFont val="Arial"/>
        <color rgb="FF000000"/>
        <sz val="12.0"/>
      </rPr>
      <t>***</t>
    </r>
  </si>
  <si>
    <t>SMT-1031PV</t>
  </si>
  <si>
    <t>10" AI PVM Monitor (Non PIP/PBP, Black)</t>
  </si>
  <si>
    <r>
      <rPr>
        <rFont val="Arial"/>
        <color rgb="FF000000"/>
        <sz val="12.0"/>
      </rPr>
      <t>10.1" AI enabled IP public view monitor (AI PVM), Black Color ,1080p (1024x600 @60Hz), HDMI, Ethernet, 16:9 aspect ratio, Built-in speaker (8 Ohn, 1W x 2), VESA mountable (75 x 75mm), AI face &amp; Object detection display for visual deterrent, OSD, Slid show and logo image support 2MP IP camera built-in, 3.06mm fixed lens(107.7" H and 59.0V), 120dB WDR, H.265/H.264/MJPEG, slide show &amp; live video, PoE+ 802.3at, DC 24V. ***</t>
    </r>
    <r>
      <rPr>
        <rFont val="Arial"/>
        <b/>
        <color rgb="FFFF0000"/>
        <sz val="12.0"/>
      </rPr>
      <t>Power adapter not included</t>
    </r>
    <r>
      <rPr>
        <rFont val="Arial"/>
        <color rgb="FF000000"/>
        <sz val="12.0"/>
      </rPr>
      <t>***</t>
    </r>
  </si>
  <si>
    <t>SMT-1031PVW</t>
  </si>
  <si>
    <t>10" AI PVM Monitor (Non PIP/PBP, White)</t>
  </si>
  <si>
    <r>
      <rPr>
        <rFont val="Arial"/>
        <color rgb="FF000000"/>
        <sz val="12.0"/>
      </rPr>
      <t>10.1”AI enabled IP public view monitor (AI PVM), White Color ,1080p (1024x600 @60Hz), HDMI, Ethernet, 16:9 aspect ratio, Built-in speaker (8 Ohn, 1W x 2), VESA mountable (75 x 75mm), AI face &amp; Object detection display for visual deterrent, OSD, Slid show and logo image support 2MP IP camera built-in, 3.06mm fixed lens(107.7" H and 59.0V), 120dB WDR, H.265/H.264/MJPEG, slide show &amp; live video, PoE+ 802.3at, DC 24V. ***</t>
    </r>
    <r>
      <rPr>
        <rFont val="Arial"/>
        <b/>
        <color rgb="FFFF0000"/>
        <sz val="12.0"/>
      </rPr>
      <t>Power adapter not included</t>
    </r>
    <r>
      <rPr>
        <rFont val="Arial"/>
        <color rgb="FF000000"/>
        <sz val="12.0"/>
      </rPr>
      <t>***</t>
    </r>
  </si>
  <si>
    <t>SMT-3240</t>
  </si>
  <si>
    <t>32" UHD Monitor</t>
  </si>
  <si>
    <t>32" UHD LED Monitor, 4K UHD (3840 x 2160), HDMI, DP, 16:9 aspect ratio, Contrast ratio 1,000 : 1, Response time 14ms, Panel life 30,000 hrs, Audio connector, VESA DPM Compatible (100x100mm, 400x200mm), Designed and tested on 24/7 operation</t>
  </si>
  <si>
    <t>SMT-2740</t>
  </si>
  <si>
    <t>27" UHD Monitor</t>
  </si>
  <si>
    <t>27" UHD LED Monitor, 4K UHD (3840 × 2160), 300 cd/m², Contrast 1200:1, Viewing Angle 178°/178°, Response Time 14ms, HDMI, DP, two windows PIP/PBP, Designed and tested on 24/7 operation</t>
  </si>
  <si>
    <t>SMT-3215</t>
  </si>
  <si>
    <t>32" FHD Monitor</t>
  </si>
  <si>
    <t>32" FHD LED Monitor, 1080p (1920x1080), HDMI, DP, VGA,, 16:9 aspect ratio, Built-in Speaker (2W X 2), VESA DPM Compatible (100x100mm), Designed and tested on 24/7 operation</t>
  </si>
  <si>
    <t>SMT-2710</t>
  </si>
  <si>
    <t>27" FHD Monitor</t>
  </si>
  <si>
    <t>27" FHD LED Monitor, 1080p (1920×1080), 250 cd/m², Contrast 4000:1, Viewing Angle 178°/178°, Response Time 6.5ms, HDMI, DP, VGA, Designed and tested on 24/7 operation</t>
  </si>
  <si>
    <t>SMT-2721D</t>
  </si>
  <si>
    <t>27" Monitor w/built-in IP Video Decoder</t>
  </si>
  <si>
    <t>27" FHD monitor with built-in 64ch IP video decoder, HDMI video out x1 (FHD), Clone and Expand modes, Supported camera resolution: Up to 4K, Maximum decoding performance: 2x8MP@30fps, 12x2MP@30fps, ONVIF, SUNAPI, RTSP, H.265/H.264/MJPEG codec, Up to 20 Layouts, Sequencing, Built-in Speakers (1W x2), Ethernet 10/100/1000Mbps, VESA DPMS Compatible (100x100mm/200x200mm/200x100mm), Black Metal Cabinet, Dual Redundant Power (HPoE 802.3bt, DC 24V), NDAA compliant.
***Monitor stand and power adapters are not included***
Optional Accessories: HPoE Power Injector (SPO-8315), DC24V Power Adapter (SPU-60241), Monitor Stand (SBM-4343)</t>
  </si>
  <si>
    <t>SMT-2431</t>
  </si>
  <si>
    <t>24" FHD Monitor</t>
  </si>
  <si>
    <t>24" FHD LED Monitor, Frameless Design, Support up to 1920 x 1080 resolution, Contrast ratio 4000:1, Viewing Angle (H/V) 178°/178°, Response Time 14ms, Video Input HDMI and VGA, Designed and tested on 24/7 operation</t>
  </si>
  <si>
    <t>SMT-2212</t>
  </si>
  <si>
    <t>22" FHD Monitor</t>
  </si>
  <si>
    <t>22" FHD LED Monitor, Frameless Design, Support up to 1920 x 1080 resolution, Contrast ratio 3000:1, Viewing Angle (H/V) 178°/178°, Response Time 6.5ms, Video Input HDMI and VGA, Designed and tested on 24/7 operation</t>
  </si>
  <si>
    <t>Monitor Stand</t>
  </si>
  <si>
    <t>SBM-4343</t>
  </si>
  <si>
    <t>Desktop Monitor Stand</t>
  </si>
  <si>
    <t>Single monitor desktop stand, compatible with SMT-4343, SMT-2721D monitor, black color, 100x100 VESA mountable</t>
  </si>
  <si>
    <t>Adapter</t>
  </si>
  <si>
    <t>SPU-60241</t>
  </si>
  <si>
    <t>60W Power Adapter</t>
  </si>
  <si>
    <t>60W, 24V DC Power Adapter Compatible with SMT-3221PV / SMT-3231PV / SMT-2721PV / SMT-2731PV / SMT-1031PV / SMT-1031PVW / SMT-2721D</t>
  </si>
  <si>
    <t>Controllers</t>
  </si>
  <si>
    <t>Controller - Analog</t>
  </si>
  <si>
    <t>SPC-2001</t>
  </si>
  <si>
    <t>Controller</t>
  </si>
  <si>
    <t>Controller, 3-Axis 12 button USB Joystick Controller for NVRs WAVE SSM and Wisenet Viewer</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</si>
  <si>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</si>
  <si>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</si>
  <si>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</si>
  <si>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</si>
  <si>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</si>
  <si>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</si>
  <si>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BCR Solution</t>
  </si>
  <si>
    <t>TNS-9040IBC</t>
  </si>
  <si>
    <t>Barcode Reader Camera</t>
  </si>
  <si>
    <t>4K</t>
  </si>
  <si>
    <r>
      <rPr>
        <rFont val="Arial"/>
        <color rgb="FF000000"/>
        <sz val="12.0"/>
      </rPr>
      <t xml:space="preserve">T series network BCR (Barcode Reader Camera) for Barcode Reading and Video Monitoring. Mono: 4K, Color: 4K.  Max 20fps @ 4K MONO/COLOR each. 16mm machine vision lens.  Removable and replaceable LED module (32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28.6W(LED on), Typical 13.7W(LED off). </t>
    </r>
    <r>
      <rPr>
        <rFont val="Arial"/>
        <color rgb="FFFF0000"/>
        <sz val="12.0"/>
      </rPr>
      <t>Accessories available to purchase separately - M12 Ethernet Cable (2/5/10m), M12 Power Cable (2/5/10m) and Power Supply Unit 24VDC for UK and EU</t>
    </r>
  </si>
  <si>
    <t>TNS-9050IBC</t>
  </si>
  <si>
    <r>
      <rPr>
        <rFont val="Arial"/>
        <color rgb="FF000000"/>
        <sz val="12.0"/>
      </rPr>
      <t xml:space="preserve">T series network BCR (Barcode Reader Camera) for Barcode Reading and Video Monitoring. Mono: 4K, Color: 4K.  Max 20fps @ 4K MONO/COLOR each. 25mm machine vision lens.  Removable and replaceable LED module (32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28.6W(LED on), Typical 13.7W(LED off). </t>
    </r>
    <r>
      <rPr>
        <rFont val="Arial"/>
        <color rgb="FFFF0000"/>
        <sz val="12.0"/>
      </rPr>
      <t>Accessories available to purchase separately - M12 Ethernet Cable (2/5/10m), M12 Power Cable (2/5/10m) and Power Supply Unit 24VDC for UK and EU</t>
    </r>
  </si>
  <si>
    <t>TNS-9060IBC</t>
  </si>
  <si>
    <r>
      <rPr>
        <rFont val="Arial"/>
        <color rgb="FF000000"/>
        <sz val="12.0"/>
      </rPr>
      <t xml:space="preserve">T series network BCR (Barcode Reader Camera) for Barcode Reading and Video Monitoring. Mono: 4K, Color: 4K.  Max 20fps @ 4K MONO/COLOR each. 35mm machine vision lens.  Removable and replaceable LED module (48 LEDs module is default) Track barcodes on high speed conveyor belt moving at 2m/s (6.5ft/s). Preinstalled WiseBCR App support 1D/2D Barcode recognition. Humidity control with AIR vent. EN 60068-2-6 (vibration resistance), EN 60068-2-27 (shock resistance). Operating temperature -40°C~+55°C, IP67, IK10, 24VDC, Max 35.4W(LED on), Typical 13.7W(LED off). </t>
    </r>
    <r>
      <rPr>
        <rFont val="Arial"/>
        <color rgb="FFFF0000"/>
        <sz val="12.0"/>
      </rPr>
      <t>Accessories available to purchase separately - M12 Ethernet Cable (2/5/10m), M12 Power Cable (2/5/10m) and Power Supply Unit 24VDC for UK and EU</t>
    </r>
  </si>
  <si>
    <r>
      <rPr>
        <rFont val="Arial"/>
        <color rgb="FF000000"/>
        <sz val="12.0"/>
      </rPr>
      <t xml:space="preserve">T series network 3MP Mono BCR camera Max 50fps @ 3MP. WiseBCR App support Barcode recognition. Currently 1D/2D Bar Code can be recognized(Code128 / Codabar / Interleaved 2 of 5) , M12 8pin Ethernet connect, IEC 60068-2-6(vibration), IEC 60068-2-27 (shock resistance). Operating temperature -40°C~+55°C, IP67, IK10, 24VDC. </t>
    </r>
    <r>
      <rPr>
        <rFont val="Arial"/>
        <color rgb="FFFF0000"/>
        <sz val="12.0"/>
      </rPr>
      <t>(accessories not included)</t>
    </r>
  </si>
  <si>
    <t>SPP-C12020P</t>
  </si>
  <si>
    <t>BCR Camera Cable</t>
  </si>
  <si>
    <t>M12 Power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</si>
  <si>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</si>
  <si>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</si>
  <si>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</si>
  <si>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</si>
  <si>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</si>
  <si>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</si>
  <si>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M12 Ethernet Cable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</si>
  <si>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</si>
  <si>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</si>
  <si>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</si>
  <si>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</si>
  <si>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</si>
  <si>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PSU</t>
  </si>
  <si>
    <t>SNC-PS-60-EU</t>
  </si>
  <si>
    <t>Hanwha PSU</t>
  </si>
  <si>
    <t>PSU - EU</t>
  </si>
  <si>
    <t>Commercial Grade Desktop Power Supply, 24V Output, 60W (2.5A), 2.1mm DC Plug, EU Power Plug. Compatible with TNS-9040IBC, TNS-9050IBC, TNS-9060IBC</t>
  </si>
  <si>
    <t>SNC-PS-60-UK</t>
  </si>
  <si>
    <t>PSU - UK</t>
  </si>
  <si>
    <t>Commercial Grade Desktop Power Supply, 24V Output, 60W (2.5A), 2.1mm DC Plug, UK Power Plug. Compatible with TNS-9040IBC, TNS-9050IBC, TNS-9060IBC</t>
  </si>
  <si>
    <t>AI appliance</t>
  </si>
  <si>
    <t>AIB-800</t>
  </si>
  <si>
    <t>8CH AI Box</t>
  </si>
  <si>
    <t>AI Box</t>
  </si>
  <si>
    <t>AI appliance capable of adding AI features to non-AI cameras, Up to 8CH support, Max resolution 8K, protocols: SUNAPI, ONVIF, Video Analytics based on AI [Object detection and classification (Person, Face, Vehicle, License plate), Attribute, BestShot] People counting, Vehicle counting, Queue management, Heatmap based on AI, Operating Temperature: 0°C to 40°C (32℉ to 104℉), Power: 12VDC</t>
  </si>
  <si>
    <t>Business Inteligence Dashboard</t>
  </si>
  <si>
    <t>Software</t>
  </si>
  <si>
    <t>VI-SWBL</t>
  </si>
  <si>
    <t>Vision Insight Dashboard - Perpetual Base License (Includes four channel)</t>
  </si>
  <si>
    <t>BI Software</t>
  </si>
  <si>
    <t>License</t>
  </si>
  <si>
    <t>Vision Insight, on-premise web-based business intelligence (BI) dashboard with dynamic widgets, statistics data, heatmap, floor plan monitoring, camera status monitoring, event monitoring, single site/multi-site, reporting and user management. The base license is perpetual and includes 4 channels, base license is mandatory for each system server.</t>
  </si>
  <si>
    <t>VI-SW1CH</t>
  </si>
  <si>
    <t>Vision Insight Dashboard - Perpetual Single Channel License</t>
  </si>
  <si>
    <t>Vision Insight, on-premise web-based business intelligence (BI) dashboard with dynamic widgets, statistics data, heatmap, floor plan monitoring, camera status monitoring, event monitoring, single site/multi-site, reporting and user management. The is single channel license and is perpetual, note: requires base license for each system server.</t>
  </si>
  <si>
    <t>Open Platform Application License</t>
  </si>
  <si>
    <t>AIA-C01BLK</t>
  </si>
  <si>
    <t>Blocked Exit Detection x1</t>
  </si>
  <si>
    <t>AI Pack</t>
  </si>
  <si>
    <t>One Camera License for Blocked Exit Detection Open Platform Application. 
To be installed on Compatible P-Series Cameras (PNV-A9081R, PNO-A9081R​, PND-A9081RV, PND-A9081RF​, PNB-A9001, PNV-A6081R​, PNO-A6081R, PND-A6081RV, PND-A6081RF​) This analytics requires WiseAI application to be installed.</t>
  </si>
  <si>
    <t>AIA-C01FAC</t>
  </si>
  <si>
    <t>Factory and Safety Pack License x1</t>
  </si>
  <si>
    <t>One Camera License for Factory and Safety Open Platform Application. 
To be installed on Compatible P-Series Cameras (PNV-A9081R, PNO-A9081R​, PND-A9081RV, PND-A9081RF​, PNB-A9001, PNV-A6081R​, PNO-A6081R, PND-A6081RV, PND-A6081RF​)</t>
  </si>
  <si>
    <t>AIA-C01RET</t>
  </si>
  <si>
    <t>Retail Solution Pack License x1</t>
  </si>
  <si>
    <t>One Camera License for Retail &amp; Business pack Open Platform Application. 
To be installed on Compatible P-Series Cameras (PNV-A9081R, PNO-A9081R​, PND-A9081RV, PND-A9081RF​, PNB-A9001, PNV-A6081R​, PNO-A6081R, PND-A6081RV, PND-A6081RF​)</t>
  </si>
  <si>
    <t>AIA-C01TRF</t>
  </si>
  <si>
    <t>Traffic Solution Pack License x1</t>
  </si>
  <si>
    <t>One Camera License for Intellgent Traffic Solution Open Platform Application. 
To be installed on Compatible P-Series Cameras (PNV-A9081R, PNO-A9081R​, PND-A9081RV, PND-A9081RF​, PNB-A9001, PNV-A6081R​, PNO-A6081R, PND-A6081RV, PND-A6081RF​)</t>
  </si>
  <si>
    <t>VMS</t>
  </si>
  <si>
    <t>SSM 2.x</t>
  </si>
  <si>
    <t>SSW-CH00L</t>
  </si>
  <si>
    <t>Core Server -  Viewer licence</t>
  </si>
  <si>
    <t>SSM 2.x Core Server - HTW, ONVIF viewing licence</t>
  </si>
  <si>
    <t>FOC</t>
  </si>
  <si>
    <t>SSW-CH01L</t>
  </si>
  <si>
    <t>Core Server - 1CH HTW, ONVIF recording</t>
  </si>
  <si>
    <t>SSM 2.x Core Server - 1CH HTW, ONVIF recording licence</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</si>
  <si>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</si>
  <si>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</si>
  <si>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</si>
  <si>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</si>
  <si>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</si>
  <si>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</si>
  <si>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</si>
  <si>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</si>
  <si>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</si>
  <si>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</si>
  <si>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</si>
  <si>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</si>
  <si>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</si>
  <si>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</si>
  <si>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</si>
  <si>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SSW-CH128L</t>
  </si>
  <si>
    <t>Core Server - 128CH HTW, ONVIF recording</t>
  </si>
  <si>
    <t>25% Lower price than separate channels.
NDAA Compliant</t>
  </si>
  <si>
    <t>SSM 2.x Core Server - 128CH HTW, ONVIF recording licence</t>
  </si>
  <si>
    <t>SSW-CH9000</t>
  </si>
  <si>
    <t>VLTS license </t>
  </si>
  <si>
    <t>SSW-VD10L</t>
  </si>
  <si>
    <t>Virtual Matrix Decoder</t>
  </si>
  <si>
    <t>SSM 2.x Virtual Matrix Decoder</t>
  </si>
  <si>
    <t>SSW-TS10L</t>
  </si>
  <si>
    <t>SSM Transaction server</t>
  </si>
  <si>
    <t>SSM 2.x Transaction server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</si>
  <si>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</si>
  <si>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</si>
  <si>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</si>
  <si>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</si>
  <si>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</si>
  <si>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</si>
  <si>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</si>
  <si>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</si>
  <si>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</si>
  <si>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</si>
  <si>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</si>
  <si>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3rd Party Products</t>
  </si>
  <si>
    <t>Wisenet WAVE</t>
  </si>
  <si>
    <t>WAVE-PRO-01</t>
  </si>
  <si>
    <t>WAVE, 1x IP camera license</t>
  </si>
  <si>
    <t>WAVE Professional License. Enables one (1) IP stream recording, includes life-time SW upgrade. No annual &amp; maintenance cost required. (Maximum justified deactivations 3 times via technical support)</t>
  </si>
  <si>
    <t>WAVE-PRO-04</t>
  </si>
  <si>
    <t>WAVE, 4x IP camera license</t>
  </si>
  <si>
    <t>WAVE Professional License. Enables four (4) IP stream recording, includes life-time SW upgrade. No annual &amp; maintenance cost required. (Maximum justified deactivations 3 times via technical support)</t>
  </si>
  <si>
    <t>WAVE-PRO-08</t>
  </si>
  <si>
    <t>WAVE, 8x IP camera license</t>
  </si>
  <si>
    <t>WAVE Professional License. Enables eight (8) IP stream recording, includes life-time SW upgrade. No annual &amp; maintenance cost required. (Maximum justified deactivations 3 times via technical support)</t>
  </si>
  <si>
    <t>WAVE-PRO-16</t>
  </si>
  <si>
    <t>WAVE, 16x IP camera license</t>
  </si>
  <si>
    <t>WAVE Professional License. Enables sixteen (16) IP stream recording, includes life-time SW upgrade. No annual &amp; maintenance cost required. (Maximum justified deactivations 3 times via technical support)</t>
  </si>
  <si>
    <t>WAVE-PRO-24</t>
  </si>
  <si>
    <t>WAVE, 24x IP camera license</t>
  </si>
  <si>
    <t>WAVE Professional License. Enables twenty-four (24) IP stream recording, includes life-time SW upgrade. No annual &amp; maintenance cost required. (Maximum justified deactivations 3 times via technical support)</t>
  </si>
  <si>
    <t>WAVE-PRO-48</t>
  </si>
  <si>
    <t>WAVE, 48x IP camera license</t>
  </si>
  <si>
    <t>WAVE Professional License. Enables forty-eight (48) IP stream recording, includes life-time SW upgrade. No annual &amp; maintenance cost required. (Maximum justified deactivations 3 times via technical support)</t>
  </si>
  <si>
    <t>WAVE-VW-02</t>
  </si>
  <si>
    <t>WAVE, Video Wall license</t>
  </si>
  <si>
    <t>WAVE Video Wall License. Enables up to two (2) monitors, includes life-time SW upgrade. No annual &amp; maintenance cost required. (Maximum justified deactivations 3 times via technical support)</t>
  </si>
  <si>
    <t>WAVE-ENC-04</t>
  </si>
  <si>
    <t>WAVE, 4 channel encoder license</t>
  </si>
  <si>
    <t>WAVE Encoder License. Enables up to four (4) recording channels, includes life-time SW upgrade. No annual &amp; maintenance cost required. (Maximum justified deactivations 3 times via technical support)</t>
  </si>
  <si>
    <t>WAVE-IO-01</t>
  </si>
  <si>
    <t>WAVE, I/O module license</t>
  </si>
  <si>
    <t>WAVE I/O License. Enables one (1) I/O module, includes life-time SW upgrade. No annual &amp; maintenance cost required. (Maximum justified deactivations 3 times via technical support)</t>
  </si>
  <si>
    <t>WAVE-EMB-04</t>
  </si>
  <si>
    <t>WAVE, 4 channel embedded recorder</t>
  </si>
  <si>
    <t>WAVE Embedded Recorder License. Enables four (4) channel Hanwha Embedded Recorder playback, includes life-time SW upgrade. No annual &amp; maintenance cost required. (Maximum justified deactivations 3 times via technical support)</t>
  </si>
  <si>
    <t>WAVE APPLIANCE</t>
  </si>
  <si>
    <t>WAVE Appliance</t>
  </si>
  <si>
    <t>WRN-1610S-4CH</t>
  </si>
  <si>
    <t>Wisenet WAVE 2U PoE NVR
with 4CH WAVE licence</t>
  </si>
  <si>
    <r>
      <rPr>
        <rFont val="Arial"/>
        <color theme="1"/>
        <sz val="12.0"/>
      </rPr>
      <t xml:space="preserve">NDAA compliant
</t>
    </r>
    <r>
      <rPr>
        <rFont val="Arial"/>
        <color rgb="FFFF0000"/>
        <sz val="12.0"/>
      </rPr>
      <t>EOS
Limited stock available</t>
    </r>
  </si>
  <si>
    <r>
      <rPr>
        <rFont val="Arial"/>
        <color rgb="FF000000"/>
        <sz val="12.0"/>
      </rPr>
      <t xml:space="preserve">2U Wisenet WAVE Network Video Recorder with 4 Professional licenses, Wisenet WAVE pre-installed, up to 150 Mbps recording B/W, 4x HDD Bays (3.5") up to 24TB, Intel CPU, Linux Ubuntu, HDMI, VGA output, 16 PoE+ camera ports with 200W total PoE budget, 320W power supply, Mouse included, Rail mount brackets included, </t>
    </r>
    <r>
      <rPr>
        <rFont val="Arial"/>
        <b/>
        <color rgb="FFFF0000"/>
        <sz val="12.0"/>
      </rPr>
      <t>No HDD included</t>
    </r>
    <r>
      <rPr>
        <rFont val="Arial"/>
        <color rgb="FFFF0000"/>
        <sz val="12.0"/>
      </rPr>
      <t xml:space="preserve"> (barebone)</t>
    </r>
  </si>
  <si>
    <t>WRN-1610S-4CH-4TB-HDV2</t>
  </si>
  <si>
    <t>Wisenet WAVE 2U PoE NVR - 4TB
with 4CH WAVE licence</t>
  </si>
  <si>
    <r>
      <rPr>
        <rFont val="Arial"/>
        <color theme="1"/>
        <sz val="12.0"/>
      </rPr>
      <t xml:space="preserve">NDAA compliant
</t>
    </r>
    <r>
      <rPr>
        <rFont val="Arial"/>
        <color rgb="FFFF0000"/>
        <sz val="12.0"/>
      </rPr>
      <t>EOS
Limited stock available</t>
    </r>
  </si>
  <si>
    <t>2U Wisenet WAVE Network Video Recorder with 4 Professional licenses, Wisenet WAVE pre-installed, Seagate SkyHawk 4TB raw, up to 150 Mbps recording B/W, 4x HDD Bays (3.5") up to 24TB, Intel CPU, Linux Ubuntu, HDMI, VGA output, 16 PoE+ camera ports with 200W total PoE budget, 320W power supply, Mouse included, Rail mount brackets included</t>
  </si>
  <si>
    <t>WRN-1610S-4CH-6TB-HDV2</t>
  </si>
  <si>
    <t>Wisenet WAVE 2U PoE NVR - 6TB
with 4CH WAVE licence</t>
  </si>
  <si>
    <r>
      <rPr>
        <rFont val="Arial"/>
        <color theme="1"/>
        <sz val="12.0"/>
      </rPr>
      <t xml:space="preserve">NDAA compliant
</t>
    </r>
    <r>
      <rPr>
        <rFont val="Arial"/>
        <color rgb="FFFF0000"/>
        <sz val="12.0"/>
      </rPr>
      <t>EOS
Limited stock available</t>
    </r>
  </si>
  <si>
    <t>2U Wisenet WAVE Network Video Recorder with 4 Professional licenses, Wisenet WAVE pre-installed, Seagate SkyHawk 6TB raw (ST6000VX009), up to 150 Mbps recording B/W, 4x HDD Bays (3.5") up to 24TB, Intel CPU, Linux Ubuntu, HDMI, VGA output, 16 PoE+ camera ports with 200W total PoE budget, 320W power supply, Mouse included, Rail mount brackets included</t>
  </si>
  <si>
    <t>WRN-1610S-4CH-8TB-HDV2</t>
  </si>
  <si>
    <t>Wisenet WAVE 2U PoE NVR - 8TB
with 4CH WAVE licence</t>
  </si>
  <si>
    <r>
      <rPr>
        <rFont val="Arial"/>
        <color theme="1"/>
        <sz val="12.0"/>
      </rPr>
      <t xml:space="preserve">NDAA compliant
</t>
    </r>
    <r>
      <rPr>
        <rFont val="Arial"/>
        <color rgb="FFFF0000"/>
        <sz val="12.0"/>
      </rPr>
      <t>EOS
Limited stock available</t>
    </r>
  </si>
  <si>
    <t>2U Wisenet WAVE Network Video Recorder with 4 Professional licenses, Wisenet WAVE pre-installed, Seagate SkyHawk 2x 4TB raw  (ST4000VX016), up to 150 Mbps recording B/W, 4x HDD Bays (3.5") up to 24TB, Intel CPU, Linux Ubuntu, HDMI, VGA output, 16 PoE+ camera ports with 200W total PoE budget, 320W power supply, Mouse included, Rail mount brackets included</t>
  </si>
  <si>
    <t>WRN-1610S-8CH</t>
  </si>
  <si>
    <t>Wisenet WAVE 2U PoE NVR
with 8CH WAVE licence</t>
  </si>
  <si>
    <r>
      <rPr>
        <rFont val="Arial"/>
        <color theme="1"/>
        <sz val="12.0"/>
      </rPr>
      <t xml:space="preserve">NDAA compliant
</t>
    </r>
    <r>
      <rPr>
        <rFont val="Arial"/>
        <color rgb="FFFF0000"/>
        <sz val="12.0"/>
      </rPr>
      <t>EOS
Limited stock available</t>
    </r>
  </si>
  <si>
    <r>
      <rPr>
        <rFont val="Arial"/>
        <color rgb="FF000000"/>
        <sz val="12.0"/>
      </rPr>
      <t xml:space="preserve">2U Wisenet WAVE Network Video Recorder with 8 Professional licenses, Wisenet WAVE pre-installed, up to 150 Mbps recording B/W, 4x HDD Bays (3.5") up to 24TB, Intel CPU, Linux Ubuntu, HDMI, VGA output, 16 PoE+ camera ports with 200W total PoE budget, 320W power supply, Mouse included, Rail mount brackets included, </t>
    </r>
    <r>
      <rPr>
        <rFont val="Arial"/>
        <b/>
        <color rgb="FFFF0000"/>
        <sz val="12.0"/>
      </rPr>
      <t>No HDD included</t>
    </r>
    <r>
      <rPr>
        <rFont val="Arial"/>
        <color rgb="FFFF0000"/>
        <sz val="12.0"/>
      </rPr>
      <t xml:space="preserve"> (barebone)</t>
    </r>
  </si>
  <si>
    <t>WRN-1610S-8CH-4TB-HDV2</t>
  </si>
  <si>
    <t>Wisenet WAVE 2U PoE NVR - 4TB
with 8CH WAVE licence</t>
  </si>
  <si>
    <r>
      <rPr>
        <rFont val="Arial"/>
        <color theme="1"/>
        <sz val="12.0"/>
      </rPr>
      <t xml:space="preserve">NDAA compliant
</t>
    </r>
    <r>
      <rPr>
        <rFont val="Arial"/>
        <color rgb="FFFF0000"/>
        <sz val="12.0"/>
      </rPr>
      <t>EOS
Limited stock available</t>
    </r>
  </si>
  <si>
    <t>2U Wisenet WAVE Network Video Recorder with 8 Professional licenses, Wisenet WAVE pre-installed, Seagate SkyHawk 4TB raw, up to 150 Mbps recording B/W, 4x HDD Bays (3.5") up to 24TB, Intel CPU, Linux Ubuntu, HDMI, VGA output, 16 PoE+ camera ports with 200W total PoE budget, 320W power supply, Mouse included, Rail mount brackets included</t>
  </si>
  <si>
    <t>WRN-1610S-8CH-6TB-HDV2</t>
  </si>
  <si>
    <t>Wisenet WAVE 2U PoE NVR - 6TB
with 8CH WAVE licence</t>
  </si>
  <si>
    <r>
      <rPr>
        <rFont val="Arial"/>
        <color theme="1"/>
        <sz val="12.0"/>
      </rPr>
      <t xml:space="preserve">NDAA compliant
</t>
    </r>
    <r>
      <rPr>
        <rFont val="Arial"/>
        <color rgb="FFFF0000"/>
        <sz val="12.0"/>
      </rPr>
      <t>EOS
Limited stock available</t>
    </r>
  </si>
  <si>
    <t>2U Wisenet WAVE Network Video Recorder with 8 Professional licenses, Wisenet WAVE pre-installed, Seagate SkyHawk 6TB raw (ST6000VX009), up to 150 Mbps recording B/W, 4x HDD Bays (3.5") up to 24TB, Intel CPU, Linux Ubuntu, HDMI, VGA output, 16 PoE+ camera ports with 200W total PoE budget, 320W power supply, Mouse included, Rail mount brackets included</t>
  </si>
  <si>
    <t>WRN-1610S-8CH-8TB-HDV2</t>
  </si>
  <si>
    <t>Wisenet WAVE 2U PoE NVR - 8TB
with 8CH WAVE licence</t>
  </si>
  <si>
    <r>
      <rPr>
        <rFont val="Arial"/>
        <color theme="1"/>
        <sz val="12.0"/>
      </rPr>
      <t xml:space="preserve">NDAA compliant
</t>
    </r>
    <r>
      <rPr>
        <rFont val="Arial"/>
        <color rgb="FFFF0000"/>
        <sz val="12.0"/>
      </rPr>
      <t>EOS
Limited stock available</t>
    </r>
  </si>
  <si>
    <t>2U Wisenet WAVE Network Video Recorder with 8 Professional licenses, Wisenet WAVE pre-installed, Seagate SkyHawk 2x 4TB raw (ST4000VX016), up to 150 Mbps recording B/W, 4x HDD Bays (3.5") up to 24TB, Intel CPU, Linux Ubuntu, HDMI, VGA output, 16 PoE+ camera ports with 200W total PoE budget, 320W power supply, Mouse included, Rail mount brackets included</t>
  </si>
  <si>
    <t>WRN-1610S-16CH</t>
  </si>
  <si>
    <t>Wisenet WAVE 2U PoE NVR
with 16CH WAVE licence</t>
  </si>
  <si>
    <r>
      <rPr>
        <rFont val="Arial"/>
        <color theme="1"/>
        <sz val="12.0"/>
      </rPr>
      <t xml:space="preserve">NDAA compliant
</t>
    </r>
    <r>
      <rPr>
        <rFont val="Arial"/>
        <color rgb="FFFF0000"/>
        <sz val="12.0"/>
      </rPr>
      <t>EOS
Limited stock available</t>
    </r>
  </si>
  <si>
    <r>
      <rPr>
        <rFont val="Arial"/>
        <color rgb="FF000000"/>
        <sz val="12.0"/>
      </rPr>
      <t>2U Wisenet WAVE Network Video Recorder with 16 Professional licenses, Wisenet WAVE pre-installed, up to 150 Mbps recording B/W, 4x HDD Bays (3.5") up to 24TB, Intel CPU, Linux Ubuntu, HDMI, VGA output, 16 PoE+ camera ports with 200W total PoE budget, 320W power supply, Mouse included, Rail mount brackets included,</t>
    </r>
    <r>
      <rPr>
        <rFont val="Arial"/>
        <b/>
        <color rgb="FF000000"/>
        <sz val="12.0"/>
      </rPr>
      <t xml:space="preserve"> </t>
    </r>
    <r>
      <rPr>
        <rFont val="Arial"/>
        <b/>
        <color rgb="FFFF0000"/>
        <sz val="12.0"/>
      </rPr>
      <t>No HDD included</t>
    </r>
    <r>
      <rPr>
        <rFont val="Arial"/>
        <color rgb="FFFF0000"/>
        <sz val="12.0"/>
      </rPr>
      <t xml:space="preserve"> (barebone)</t>
    </r>
  </si>
  <si>
    <t>WRN-1610S-16CH-4TB-HDV2</t>
  </si>
  <si>
    <t>Wisenet WAVE 2U PoE NVR - 4TB
with 16CH WAVE licence</t>
  </si>
  <si>
    <r>
      <rPr>
        <rFont val="Arial"/>
        <color theme="1"/>
        <sz val="12.0"/>
      </rPr>
      <t xml:space="preserve">NDAA compliant
</t>
    </r>
    <r>
      <rPr>
        <rFont val="Arial"/>
        <color rgb="FFFF0000"/>
        <sz val="12.0"/>
      </rPr>
      <t>EOS
Limited stock available</t>
    </r>
  </si>
  <si>
    <t>2U Wisenet WAVE Network Video Recorder with 16 Professional licenses, Wisenet WAVE pre-installed, Seagate SkyHawk 4TB raw, up to 150 Mbps recording B/W, 4x HDD Bays (3.5") up to 24TB, Intel CPU, Linux Ubuntu, HDMI, VGA output, 16 PoE+ camera ports with 200W total PoE budget, 320W power supply, Mouse included, Rail mount brackets included</t>
  </si>
  <si>
    <t>WRN-1610S-16CH-6TB-HDV2</t>
  </si>
  <si>
    <t>Wisenet WAVE 2U PoE NVR - 6TB
with 16CH WAVE licence</t>
  </si>
  <si>
    <r>
      <rPr>
        <rFont val="Arial"/>
        <color theme="1"/>
        <sz val="12.0"/>
      </rPr>
      <t xml:space="preserve">NDAA compliant
</t>
    </r>
    <r>
      <rPr>
        <rFont val="Arial"/>
        <color rgb="FFFF0000"/>
        <sz val="12.0"/>
      </rPr>
      <t>EOS
Limited stock available</t>
    </r>
  </si>
  <si>
    <t>2U Wisenet WAVE Network Video Recorder with 16 Professional licenses, Wisenet WAVE pre-installed, Seagate SkyHawk 6TB raw (ST6000VX009), up to 150 Mbps recording B/W, 4x HDD Bays (3.5") up to 24TB, Intel CPU, Linux Ubuntu, HDMI, VGA output, 16 PoE+ camera ports with 200W total PoE budget, 320W power supply, Mouse included, Rail mount brackets included</t>
  </si>
  <si>
    <t>WRN-1610S-16CH-8TB-HDV2</t>
  </si>
  <si>
    <t>Wisenet WAVE 2U PoE NVR - 8TB
with 16CH WAVE licence</t>
  </si>
  <si>
    <r>
      <rPr>
        <rFont val="Arial"/>
        <color theme="1"/>
        <sz val="12.0"/>
      </rPr>
      <t xml:space="preserve">NDAA compliant
</t>
    </r>
    <r>
      <rPr>
        <rFont val="Arial"/>
        <color rgb="FFFF0000"/>
        <sz val="12.0"/>
      </rPr>
      <t>EOS
Limited stock available</t>
    </r>
  </si>
  <si>
    <t>2U Wisenet WAVE Network Video Recorder with 16 Professional licenses, Wisenet WAVE pre-installed, Seagate SkyHawk 2x 4TB raw (ST4000VX016), up to 150 Mbps recording B/W, 4x HDD Bays (3.5") up to 24TB, Intel CPU, Linux Ubuntu, HDMI, VGA output, 16 PoE+ camera ports with 200W total PoE budget, 320W power supply, Mouse included, Rail mount brackets included</t>
  </si>
  <si>
    <t>WRN-1610S-16CH-24TB-HDV2</t>
  </si>
  <si>
    <t>Wisenet WAVE 2U PoE NVR - 24TB
with 16CH WAVE licence</t>
  </si>
  <si>
    <r>
      <rPr>
        <rFont val="Arial"/>
        <color theme="1"/>
        <sz val="12.0"/>
      </rPr>
      <t xml:space="preserve">NDAA compliant
</t>
    </r>
    <r>
      <rPr>
        <rFont val="Arial"/>
        <color rgb="FFFF0000"/>
        <sz val="12.0"/>
      </rPr>
      <t>EOS
Limited stock available</t>
    </r>
  </si>
  <si>
    <t>2U Wisenet WAVE Network Video Recorder with 16 Professional licenses, Wisenet WAVE pre-installed, Seagate SkyHawk 4x 6TB raw (ST6000VX009), up to 150 Mbps recording B/W, 4x HDD Bays (3.5") up to 24TB, Intel CPU, Linux Ubuntu, HDMI, VGA output, 16 PoE+ camera ports with 200W total PoE budget, 320W power supply, Mouse included, Rail mount brackets included</t>
  </si>
  <si>
    <t>WRN-2010S</t>
  </si>
  <si>
    <t>WAVE recording server with PoE+</t>
  </si>
  <si>
    <t>1U WAVE NVR, supports: 16 channels with 8 PoE/PoE+ ports (PoE Budget 100W),  2x HDD Bays (10TB max per HDD)</t>
  </si>
  <si>
    <t>WRN-2010S-4CH-6TB</t>
  </si>
  <si>
    <t>WAVE recording server with PoE+
(16Ch + 4 WAVE licences)</t>
  </si>
  <si>
    <r>
      <rPr>
        <rFont val="Arial"/>
        <color rgb="FF000000"/>
        <sz val="12.0"/>
      </rPr>
      <t xml:space="preserve">1U WAVE NVR with 4 WAVE Professional licenses pre installed, supports: 16 channels with 8 PoE/PoE+ ports (PoE Budget 100W),  2x HDD Bays (10TB max per HDD), </t>
    </r>
    <r>
      <rPr>
        <rFont val="Arial"/>
        <color rgb="FFFF0000"/>
        <sz val="12.0"/>
      </rPr>
      <t>1x6TB HDD included</t>
    </r>
  </si>
  <si>
    <t>WRN-2010S-8CH-8TB</t>
  </si>
  <si>
    <t xml:space="preserve">WAVE recording server with PoE+
(16Ch + 8 WAVE licences) </t>
  </si>
  <si>
    <r>
      <rPr>
        <rFont val="Arial"/>
        <color rgb="FF000000"/>
        <sz val="12.0"/>
      </rPr>
      <t xml:space="preserve">1U WAVE NVR with 8 WAVE Professional licenses pre installed, supports: 16 channels with 8 PoE/PoE+ ports (PoE Budget 100W),  2x HDD Bays (10TB max per HDD), </t>
    </r>
    <r>
      <rPr>
        <rFont val="Arial"/>
        <color rgb="FFFF0000"/>
        <sz val="12.0"/>
      </rPr>
      <t>1x8TB HDD included</t>
    </r>
  </si>
  <si>
    <t>WRN-2010S-16CH-16TB</t>
  </si>
  <si>
    <t>WAVE recording server with PoE+
(16Ch + 16 WAVE licences)</t>
  </si>
  <si>
    <r>
      <rPr>
        <rFont val="Arial"/>
        <color rgb="FF000000"/>
        <sz val="12.0"/>
      </rPr>
      <t>1U WAVE NVR with 16 WAVE Professional licenses pre installed, supports: 16 channels with 8 PoE/PoE+ ports (PoE Budget 100W),  2x HDD Bays (10TB max per HDD),</t>
    </r>
    <r>
      <rPr>
        <rFont val="Arial"/>
        <color rgb="FFFF0000"/>
        <sz val="12.0"/>
      </rPr>
      <t xml:space="preserve"> 2x 8TB HDD included</t>
    </r>
  </si>
  <si>
    <t>WRN-2110B1</t>
  </si>
  <si>
    <t>WAVE recording server</t>
  </si>
  <si>
    <t>2U WAVE NVR, supports: 36 channels,  4x HDD Bays (10TB max per HDD)</t>
  </si>
  <si>
    <t>WRN-2110B1-4CH-6TB</t>
  </si>
  <si>
    <t>WAVE recording server
(36Ch + 4 WAVE licences)</t>
  </si>
  <si>
    <r>
      <rPr>
        <rFont val="Arial"/>
        <color rgb="FF000000"/>
        <sz val="12.0"/>
      </rPr>
      <t xml:space="preserve">2U WAVE NVR with 4 WAVE Professional licenses pre installed, supports: 36 channels 4x HDD Bays (10TB max per HDD), </t>
    </r>
    <r>
      <rPr>
        <rFont val="Arial"/>
        <color rgb="FFFF0000"/>
        <sz val="12.0"/>
      </rPr>
      <t>1x6TB HDD included</t>
    </r>
  </si>
  <si>
    <t>WRN-2110B1-16CH-16TB</t>
  </si>
  <si>
    <t>WAVE recording server
(36Ch + 16 WAVE licences)</t>
  </si>
  <si>
    <r>
      <rPr>
        <rFont val="Arial"/>
        <color rgb="FF000000"/>
        <sz val="12.0"/>
      </rPr>
      <t xml:space="preserve">2U WAVE NVR with 16 WAVE Professional licenses pre installed, supports: 36 channels 4x HDD Bays (10TB max per HDD), </t>
    </r>
    <r>
      <rPr>
        <rFont val="Arial"/>
        <color rgb="FFFF0000"/>
        <sz val="12.0"/>
      </rPr>
      <t>2x8TB HDD included</t>
    </r>
  </si>
  <si>
    <t>WRN-2110B1-36CH-40TB</t>
  </si>
  <si>
    <t>WAVE recording server
(36Ch + 36 WAVE licences)</t>
  </si>
  <si>
    <r>
      <rPr>
        <rFont val="Arial"/>
        <color rgb="FF000000"/>
        <sz val="12.0"/>
      </rPr>
      <t xml:space="preserve">2U WAVE NVR with 36 WAVE Professional licenses pre installed, supports: 36 channels 4x HDD Bays (10TB max per HDD), </t>
    </r>
    <r>
      <rPr>
        <rFont val="Arial"/>
        <color rgb="FFFF0000"/>
        <sz val="12.0"/>
      </rPr>
      <t>4x10TB HDD included</t>
    </r>
  </si>
  <si>
    <t>WRN-2110SB1</t>
  </si>
  <si>
    <t>2U WAVE NVR, supports: 36 channels with 16 PoE/PoE+ ports (PoE Budget 200W),  4x HDD Bays (10TB max per HDD)</t>
  </si>
  <si>
    <t>WRN-2110SB1-4CH-6TB</t>
  </si>
  <si>
    <t>WAVE recording server with PoE+
(36Ch + 4 WAVE licences)</t>
  </si>
  <si>
    <r>
      <rPr>
        <rFont val="Arial"/>
        <color rgb="FF000000"/>
        <sz val="12.0"/>
      </rPr>
      <t xml:space="preserve">2U WAVE NVR with 4 WAVE Professional licenses pre installed, supports: 36 channels with 16 PoE/PoE+ ports (PoE Budget 200W),  4x HDD Bays (10TB max per HDD), </t>
    </r>
    <r>
      <rPr>
        <rFont val="Arial"/>
        <color rgb="FFFF0000"/>
        <sz val="12.0"/>
      </rPr>
      <t>1x6TB HDD included</t>
    </r>
  </si>
  <si>
    <t>WRN-2110SB1-16CH-16TB</t>
  </si>
  <si>
    <t>WAVE recording server with PoE+
(36Ch + 16 WAVE licences)</t>
  </si>
  <si>
    <r>
      <rPr>
        <rFont val="Arial"/>
        <color rgb="FF000000"/>
        <sz val="12.0"/>
      </rPr>
      <t xml:space="preserve">2U WAVE NVR with 16 WAVE Professional licenses pre installed, supports: 36 channels with 16 PoE/PoE+ ports (PoE Budget 200W),  4x HDD Bays (10TB max per HDD), </t>
    </r>
    <r>
      <rPr>
        <rFont val="Arial"/>
        <color rgb="FFFF0000"/>
        <sz val="12.0"/>
      </rPr>
      <t>2x8TB HDD included</t>
    </r>
  </si>
  <si>
    <t>WRN-2110SB1-36CH-40TB</t>
  </si>
  <si>
    <t>WAVE recording server with PoE+
(36Ch + 36 WAVE licences)</t>
  </si>
  <si>
    <r>
      <rPr>
        <rFont val="Arial"/>
        <color rgb="FF000000"/>
        <sz val="12.0"/>
      </rPr>
      <t xml:space="preserve">2U WAVE NVR with 36 WAVE Professional licenses pre installed, supports: 36 channels with 16 PoE/PoE+ ports (PoE Budget 200W),  4x HDD Bays (10TB max per HDD), </t>
    </r>
    <r>
      <rPr>
        <rFont val="Arial"/>
        <color rgb="FFFF0000"/>
        <sz val="12.0"/>
      </rPr>
      <t>4x10TB HDD included</t>
    </r>
  </si>
  <si>
    <t>A.I. Tech</t>
  </si>
  <si>
    <t>Out of Box products</t>
  </si>
  <si>
    <t>XNO-6020R-V/INT</t>
  </si>
  <si>
    <t>2MP IR Bullet
with AI Intrusion-PRO</t>
  </si>
  <si>
    <t>X series powered by Wisenet 5 network IR outdoor vandal bullet camera with AI-Intrusion-PRO application and 32GB SD card installed,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</si>
  <si>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TNO-4030T/INT</t>
  </si>
  <si>
    <t>VGA Thermal Camera
with AI Intrusion-PRO</t>
  </si>
  <si>
    <t>T series network outdoor thermal bullet camera with AI-Intrusion-PRO application and 32GB SD card installed, VGA @30fps,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</si>
  <si>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TNO-4040T/INT</t>
  </si>
  <si>
    <t>T series network outdoor thermal bullet camera with AI-Intrusion-PRO application and 32GB SD card installed, VGA @30fps, 19mm fixed lens (32°),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</si>
  <si>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TNO-4050T/INT</t>
  </si>
  <si>
    <t>T series network outdoor thermal bullet camera with AI-Intrusion-PRO application and 32GB SD card installed, VGA @30fps, 35mm fixed lens (17.2°),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</si>
  <si>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XNO-6080R/INT</t>
  </si>
  <si>
    <t>X series powered by Wisenet 5 network IR outdoor vandal bullet camera with AI-Intrusion-PRO application and 32GB SD card installed, 2MP @60fps, 2.8 ~ 12.0mm motorized vari-focal lens (4.3x) (119.5°~27.9°), triple codec H.265/H.264/MJPEG with WiseStream II, Multiple streaming, 150dB WDR,  True Day &amp; Night (ICR), High Powered IR LEDs with IR viewable length 50m, Advanced Video Analytics and Sound Classification and Business Analytics, Hallway View, Motion detection, Fog detection, HLC, Handover, Digital Image Stabilization, Bi-directional audio and dual SD/SDHC/SDXC slot, USB port for easy installation, IP67, IK10, Nema 4X, PoE/12VDC/24VAC</t>
  </si>
  <si>
    <t>AIT-PPE-1CH</t>
  </si>
  <si>
    <t>AI Tech Hardhat and Vest (PPE)
1 Channel Licence</t>
  </si>
  <si>
    <t>AI Tech AIT-PPE-1CH is edge-based analytics for detection of person without personal protective equipment, available for hardhat and vest. Optional Embedded Dashboard requires 4GB+ SD Card (sold separately). Recommended cameras PNV-A6081R, PND-A6081RV, PNO-A6081R, other models available, consult with local Hanwha sales representative. Includes software evolution plan for the first year. Support packages are recommended AIT-CONF-APP and AIT-OPTIM-APP.</t>
  </si>
  <si>
    <t>AIT-INTRUSION-1CH</t>
  </si>
  <si>
    <t>AI Tech Intrusion and Loitering
1 Channel Licence</t>
  </si>
  <si>
    <t>AI Tech AIT-INTRUSION-1CH is edge-based analytics for detection of loitering and intrusion using unlimited virtual lines or virtual areas with filtering of the objects (person/animal/vehicle). Optional Embedded Dashboard requires 4GB+ SD Card (sold separately). Recommended cameras TNO-3010T/3020T/3030T/3040T/3050T/4030T/4040T/4050T/L3030T/L4030T/ L4030TR, PNO-A6081R, PNV-A6081R, XNO-C6083R/6123R/6080R/6120R, XNV-C6083R/6123R/6080R/6120R, other models available, consult with local Hanwha sales representative. Includes software evolution plan for the first year. Support packages are recommended AIT-CONF-APP and AIT-OPTIM-APP</t>
  </si>
  <si>
    <t>AIT-LOST-1CH</t>
  </si>
  <si>
    <t>AI Tech Abandoned Objects
1 Channel Licence</t>
  </si>
  <si>
    <t>AI Tech AIT-LOST-1CH is edge-based analytics for detection of abandoned/removed objects with baggage/garbage object classification. Optional Embedded Dashboard requires 4GB+ SD Card (sold separately). Recommended cameras PNO-A6081R, PNV-A6081R, XNO-C6083R, XNV-C6083R, other models available, consult with local Hanwha sales representative. Includes software evolution plan for the first year. Support packages are recommended AIT-CONF-APP and AIT-OPTIM-APP</t>
  </si>
  <si>
    <t>AIT-DASH-PRO-1CH</t>
  </si>
  <si>
    <t>AI Tech Dashboard Professional
1 Channel Licence</t>
  </si>
  <si>
    <t>AI Tech AIT-DASH-PRO-1CH is server based Web-Dashboard Professional version. Aggregates events from multiple devices/sites, multi-user management, automatic reporting, advanced integrations (POS/OpenAPI over HTTP), heatmap visualization and live weather services. Includes software evolution plan for the first year. Support packages are recommended AIT-CONF-DASH</t>
  </si>
  <si>
    <t>Support</t>
  </si>
  <si>
    <t>AIT-SUP-12T</t>
  </si>
  <si>
    <t>AI Tech Remote Support
12 tickets over 1 Year</t>
  </si>
  <si>
    <t>AIT-SUP-12T is 12 tickets for remote support carried out by AI Tech personnel. Each ticket entitles to receive support for up to 30 minutes continuously. The tickets are to be used in 12 months since the purchase day. It is required that the system is remotely accessible.</t>
  </si>
  <si>
    <t>AIT-SUP-24T</t>
  </si>
  <si>
    <t>AI Tech Remote Support
24 tickets over 1 Year</t>
  </si>
  <si>
    <t>AIT-SUP-24T is 24 tickets for remote support carried out by AI Tech personnel. Each ticket entitles to receive support for up to 30 minutes continuously. The tickets are to be used in 12 months since the purchase day. It is required that the system is remotely accessible.</t>
  </si>
  <si>
    <t>AIT-SUP-HR</t>
  </si>
  <si>
    <t>AI Tech Remote Support
Hourly Rate</t>
  </si>
  <si>
    <t>AIT-SUP-HR is hourly rate for remote support carried out by AI Tech personnel. It is required that the system is remotely accessible.</t>
  </si>
  <si>
    <t>AIT-CONF-APP</t>
  </si>
  <si>
    <t>AI Tech Remote Support
1 Channel App Configuration</t>
  </si>
  <si>
    <t>AIT-CONF-APP is remote professional services carried out by AI Tech personnel in a single session for Installation and configuration of 1 channel analytics app. It is required that hardware is installed, remotely accessible and product licence is already generated.</t>
  </si>
  <si>
    <t>AIT-OPTIM-APP-1M</t>
  </si>
  <si>
    <t>AI Tech Remote Support
1 Channel App Optimization 1 Month</t>
  </si>
  <si>
    <t>AIT-OPTIM-APP is remote professional services carried out by AI Tech personnel for parameters optimization/fine tuning of 1 channel analytics app. The activity lasts 1 month, 2 checks per week (8 checks total). It is required that analytics app is installed, licenced and remotely accessible.</t>
  </si>
  <si>
    <t>AIT-OPTIM-APP-2M</t>
  </si>
  <si>
    <t>AI Tech Remote Support
1 Channel App Optimization 2 Month</t>
  </si>
  <si>
    <t>AIT-OPTIM-APP is remote professional services carried out by AI Tech personnel for parameters optimization/fine tuning of 1 channel analytics app. The activity lasts 2 month, 2 checks per week (16 checks total). It is required that analytics app is installed, licenced and remotely accessible.</t>
  </si>
  <si>
    <t>AIT-CONF-DASH</t>
  </si>
  <si>
    <t>AI Tech Remote Support
Dashboard Configuration</t>
  </si>
  <si>
    <t>AIT-CONF-DASH is remote professional services carried out by AI Tech personnel in a single session for Installation and configuration of Dashboard. It is required that hardware is installed, remotely accessible and product licence is already generated.</t>
  </si>
  <si>
    <t>FF Group</t>
  </si>
  <si>
    <t>XNO-6080R/RW</t>
  </si>
  <si>
    <t>2MP IR 4.3x Bullet
with 32GB SD Card, pre-installed and licensed RoadWatch ANPR application</t>
  </si>
  <si>
    <r>
      <rPr>
        <rFont val="Arial"/>
        <color rgb="FF000000"/>
        <sz val="12.0"/>
      </rPr>
      <t xml:space="preserve">X series powered by Wisenet 5 network IR outdoor vandal bullet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 IK10, Nema 4X, PoE/12VDC/24VAC</t>
    </r>
  </si>
  <si>
    <t>XNO-6120R/RW</t>
  </si>
  <si>
    <t>2MP IR 12x Bullet
with 32GB SD Card, pre-installed and licensed RoadWatch ANPR application</t>
  </si>
  <si>
    <r>
      <rPr>
        <rFont val="Arial"/>
        <color rgb="FF000000"/>
        <sz val="12.0"/>
      </rPr>
      <t xml:space="preserve">X series powered by Wisenet 5 network IR outdoor vandal bullet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Full HD(1080p), 5.2 ~ 62.4mm optical zoom lens (12x) (54.58°~5.30°), triple codec H.265/H.264/MJPEG with WiseStream II, Multiple streaming, 150dB WDR, True Day &amp; Night (ICR), High Powered IR LEDs with IR viewable length 70m, HLC, Handover, Digital Image Stabilization with built-in Gyro sensor, Bi-directional audio, IP67, IK10, Nema 4X, PoE/12VDC/24VAC</t>
    </r>
  </si>
  <si>
    <t>XNO-6123R/RW</t>
  </si>
  <si>
    <r>
      <rPr>
        <rFont val="Arial"/>
        <color rgb="FF000000"/>
        <sz val="12.0"/>
      </rPr>
      <t xml:space="preserve">X series powered by Wisenet 7 SoC network IR outdoor vandal bullet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Full HD (1080p), 5.2 ~ 62.4mm optical zoom lens (12x), H.265/H.264/MJPEG with WiseStream III, Multiple streaming, 150dB WDR, True Day &amp; Night (ICR), High Powered IR LEDs with IR viewable length 90m, LC, PTZ Handover; Digital Image Stabilization with built-in Gyro sensor, IP66/IP67, IK10, Nema 4X, PoE+/12VDC</t>
    </r>
  </si>
  <si>
    <t>XNO-C6083R/RW</t>
  </si>
  <si>
    <r>
      <rPr>
        <rFont val="Arial"/>
        <color theme="1"/>
        <sz val="12.0"/>
      </rPr>
      <t xml:space="preserve">X series AI powered by Wisenet 7 network outdoor vandal bullet camera with </t>
    </r>
    <r>
      <rPr>
        <rFont val="Arial"/>
        <b/>
        <color theme="1"/>
        <sz val="12.0"/>
      </rPr>
      <t>32GB SD Card, pre-installed and licensed RoadWatch ANPR application</t>
    </r>
    <r>
      <rPr>
        <rFont val="Arial"/>
        <color theme="1"/>
        <sz val="12.0"/>
      </rPr>
      <t>; List Management, Smart Search, Statistics, Barrier Trigger, ANPR Setup Wizard, Integration with WAVE VMS, JSON &amp; UTMC protocols, 2MP @60fps, 2.8~12mm motorized varifocal lens (4.3x), triple codec H.265/H.264/MJPEG with WiseStream III, Multiple streaming, extreme WDR (150dB), Auto Day &amp; Night (ICR), IR viewable length 40m, Next level Cybersecurity, Digital Image Stabilization with Built-in Gyro sensor, Bi-directional audio, IP66/IP67, IK10, NEMA4X, PoE/12VDC</t>
    </r>
  </si>
  <si>
    <t>XNV-6080R/RW</t>
  </si>
  <si>
    <t>2MP IR 4.3x Vandal Dome
with 32GB SD Card, pre-installed and licensed RoadWatch ANPR application</t>
  </si>
  <si>
    <r>
      <rPr>
        <rFont val="Arial"/>
        <color theme="1"/>
        <sz val="12.0"/>
      </rPr>
      <t xml:space="preserve">X series powered by Wisenet 5 network IR outdoor vandal dome camera with </t>
    </r>
    <r>
      <rPr>
        <rFont val="Arial"/>
        <b/>
        <color theme="1"/>
        <sz val="12.0"/>
      </rPr>
      <t>32GB SD Card, pre-installed and licensed RoadWatch ANPR application</t>
    </r>
    <r>
      <rPr>
        <rFont val="Arial"/>
        <color theme="1"/>
        <sz val="12.0"/>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IP67/IP66, IK10, Nema 4X, PoE/12VDC/24VAC</t>
    </r>
  </si>
  <si>
    <t>XNV-C6083R/RW</t>
  </si>
  <si>
    <r>
      <rPr>
        <rFont val="Arial"/>
        <color rgb="FF000000"/>
        <sz val="12.0"/>
      </rPr>
      <t xml:space="preserve">X series powered by Wisenet 7 AI network IR outdoor vandal dome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2.8 ~ 12.0mm motorized varifocal lens (4.3x) (119.5°~27.9°), triple codec H.265/H.264 /MJPEG with WiseStream III, Multiple streaming, 150dB WDR, True Day &amp; Night (ICR), High Powered IR LEDs with IR viewable length 40m, HLC, Digital Image Stabilization with Gyro sensor, Bi-directional audio, IP67/IP66, IK10, Nema 4X, PoE/12VDC</t>
    </r>
  </si>
  <si>
    <t>FFG-RW-1CH</t>
  </si>
  <si>
    <t>RoadWatch 1 Channel License</t>
  </si>
  <si>
    <t xml:space="preserve">
NDAA Compliant</t>
  </si>
  <si>
    <r>
      <rPr>
        <rFont val="Arial"/>
        <b/>
        <color rgb="FF000000"/>
        <sz val="12.0"/>
      </rPr>
      <t>Note: a minimum 32GB Class 10 Micro SD Card is required for event images and integrations to work (order code: SAMSUNG-MB-MJ32KA).</t>
    </r>
    <r>
      <rPr>
        <rFont val="Arial"/>
        <color rgb="FF000000"/>
        <sz val="12.0"/>
      </rPr>
      <t xml:space="preserve"> RoadWatch 1 Channel License, Edge based ANPR for X Series Wisenet 5 &amp; 7 Cameras, supports 1 Lane with maximum speed of 90km/h(55mph) model dependent, 95% recognition accuracy, Recognition of 42 European Countries, Direction Detection, List Management, Barrier Trigger, Smart Search (full/partial plate, country, date and a combination), Search Export in to Excel format, Statistics Widget (data by day and week), Setup Tools (Wizard, Freeze Frame, Plate Angle &amp; Size), Settings Export/Import and database backup, Integration with WAVE VMS, SSM VMS, JSON &amp; UTMC protocols * </t>
    </r>
    <r>
      <rPr>
        <rFont val="Arial"/>
        <color rgb="FFFF0000"/>
        <sz val="12.0"/>
      </rPr>
      <t>Requires SD card (should be purchased separately)</t>
    </r>
  </si>
  <si>
    <t>a2</t>
  </si>
  <si>
    <t>A2-AID-PCK100-1CH</t>
  </si>
  <si>
    <t>AID Analytics License (01-100CH)</t>
  </si>
  <si>
    <r>
      <rPr>
        <rFont val="Arial"/>
        <color rgb="FF000000"/>
        <sz val="12.0"/>
      </rPr>
      <t xml:space="preserve">Single channel license for server based Automatic Incident Detection (AID) Analytics. Applies to an order between 1-100 channels. Includes first year software upgrades, bug fixes, minor new features and support tickets based on usage of 10 days. </t>
    </r>
    <r>
      <rPr>
        <rFont val="Arial"/>
        <b/>
        <color rgb="FF000000"/>
        <sz val="12.0"/>
      </rPr>
      <t>ORDER NOTE: Final Bill of Materials for AID project needs to be validated, please contact your local sales representative.</t>
    </r>
  </si>
  <si>
    <t>A2-AID-PCK250-1CH</t>
  </si>
  <si>
    <t>AID Analytics License (01-101-250CH)</t>
  </si>
  <si>
    <r>
      <rPr>
        <rFont val="Arial"/>
        <color rgb="FF000000"/>
        <sz val="12.0"/>
      </rPr>
      <t xml:space="preserve">Single channel license for server based Automatic Incident Detection (AID) Analytics. Applies to an order between 101-250 channels. Includes first year software upgrades, bug fixes, minor new features and support tickets based on usage of 15 days. </t>
    </r>
    <r>
      <rPr>
        <rFont val="Arial"/>
        <b/>
        <color rgb="FF000000"/>
        <sz val="12.0"/>
      </rPr>
      <t>ORDER NOTE: Final Bill of Materials for AID project needs to be validated, please contact your local sales representative.</t>
    </r>
  </si>
  <si>
    <t>A2-AID-PCK500-1CH</t>
  </si>
  <si>
    <t>AID Analytics License (251-500CH)</t>
  </si>
  <si>
    <r>
      <rPr>
        <rFont val="Arial"/>
        <color rgb="FF000000"/>
        <sz val="12.0"/>
      </rPr>
      <t xml:space="preserve">Single channel license for server based Automatic Incident Detection (AID) Analytics. Applies to an order between 251-500 channels. Includes first year software upgrades, bug fixes, minor new features and support tickets based on usage of 25 days. </t>
    </r>
    <r>
      <rPr>
        <rFont val="Arial"/>
        <b/>
        <color rgb="FF000000"/>
        <sz val="12.0"/>
      </rPr>
      <t>ORDER NOTE: Final Bill of Materials for AID project needs to be validated, please contact your local sales representative.</t>
    </r>
  </si>
  <si>
    <t>A2-AID-PCK1000-1CH</t>
  </si>
  <si>
    <t>AID Analytics License (501-1000CH)</t>
  </si>
  <si>
    <r>
      <rPr>
        <rFont val="Arial"/>
        <color rgb="FF000000"/>
        <sz val="12.0"/>
      </rPr>
      <t xml:space="preserve">Single channel license for server based Automatic Incident Detection (AID) Analytics. Applies to an order between 501-1000 channels. Includes first year software upgrades, bug fixes, minor new features and support tickets based on usage of 30 days. </t>
    </r>
    <r>
      <rPr>
        <rFont val="Arial"/>
        <b/>
        <color rgb="FF000000"/>
        <sz val="12.0"/>
      </rPr>
      <t>ORDER NOTE: Final Bill of Materials for AID project needs to be validated, please contact your local sales representative.</t>
    </r>
  </si>
  <si>
    <t>A2-AID-PCK1001-1CH</t>
  </si>
  <si>
    <t>AID Analytics License (1001+CH)</t>
  </si>
  <si>
    <r>
      <rPr>
        <rFont val="Arial"/>
        <color rgb="FF000000"/>
        <sz val="12.0"/>
      </rPr>
      <t xml:space="preserve">Single channel license for server based Automatic Incident Detection (AID) Analytics. Applies to an order of 1000+ channels. Includes first year software upgrades, bug fixes, minor new features and support tickets based on usage of 45 days. </t>
    </r>
    <r>
      <rPr>
        <rFont val="Arial"/>
        <b/>
        <color rgb="FF000000"/>
        <sz val="12.0"/>
      </rPr>
      <t>ORDER NOTE: Final Bill of Materials for AID project needs to be validated, please contact your local sales representative.</t>
    </r>
  </si>
  <si>
    <t>A2-AID-INTERFACE-5CH</t>
  </si>
  <si>
    <t>Web Interface License (5CH)</t>
  </si>
  <si>
    <r>
      <rPr>
        <rFont val="Arial"/>
        <color rgb="FF000000"/>
        <sz val="12.0"/>
      </rPr>
      <t xml:space="preserve">Bundle of first 5 channel licenses for web-based Interface to report &amp; evaluate AID events and statistics data. </t>
    </r>
    <r>
      <rPr>
        <rFont val="Arial"/>
        <b/>
        <color rgb="FF000000"/>
        <sz val="12.0"/>
      </rPr>
      <t>ORDER NOTE: Final Bill of Materials for AID project needs to be validated, please contact your local sales representative.</t>
    </r>
  </si>
  <si>
    <t>A2-AID-INTERFACE-20CH</t>
  </si>
  <si>
    <t>Web Interface License (20CH)</t>
  </si>
  <si>
    <r>
      <rPr>
        <rFont val="Arial"/>
        <color rgb="FF000000"/>
        <sz val="12.0"/>
      </rPr>
      <t xml:space="preserve">Bundle of 20 channel licenses for web-based Interface to report &amp; evaluate AID events and statistics data. </t>
    </r>
    <r>
      <rPr>
        <rFont val="Arial"/>
        <b/>
        <color rgb="FF000000"/>
        <sz val="12.0"/>
      </rPr>
      <t>ORDER NOTE: Final Bill of Materials for AID project needs to be validated, please contact your local sales representative.</t>
    </r>
  </si>
  <si>
    <t>A2-AID-INTERFACE-50CH</t>
  </si>
  <si>
    <t>Web Interface License (50CH)</t>
  </si>
  <si>
    <r>
      <rPr>
        <rFont val="Arial"/>
        <color rgb="FF000000"/>
        <sz val="12.0"/>
      </rPr>
      <t xml:space="preserve">Bundle of 50 channel licenses for web-based Interface to report &amp; evaluate AID events and statistics data. </t>
    </r>
    <r>
      <rPr>
        <rFont val="Arial"/>
        <b/>
        <color rgb="FF000000"/>
        <sz val="12.0"/>
      </rPr>
      <t>ORDER NOTE: Final Bill of Materials for AID project needs to be validated, please contact your local sales representative.</t>
    </r>
  </si>
  <si>
    <t>A2-AID-CENTRAL-BD2</t>
  </si>
  <si>
    <t>Multi-site Central Software
(up to 2 management servers)</t>
  </si>
  <si>
    <r>
      <rPr>
        <rFont val="Arial"/>
        <color rgb="FF000000"/>
        <sz val="12.0"/>
      </rPr>
      <t xml:space="preserve">License bundle to connect up to 2 management servers to unify multiple sites for central monitoring. Requires web-based Interface A2-AID-INTERFACE-xx. </t>
    </r>
    <r>
      <rPr>
        <rFont val="Arial"/>
        <b/>
        <color rgb="FF000000"/>
        <sz val="12.0"/>
      </rPr>
      <t>ORDER NOTE: Final Bill of Materials for AID project needs to be validated, please contact your local sales representative.</t>
    </r>
  </si>
  <si>
    <t>A2-AID-CENTRAL-BD4</t>
  </si>
  <si>
    <t>Multi-site Central Software
(up to 4 management servers)</t>
  </si>
  <si>
    <r>
      <rPr>
        <rFont val="Arial"/>
        <color rgb="FF000000"/>
        <sz val="12.0"/>
      </rPr>
      <t xml:space="preserve">License bundle to connect up to 4 management servers to unify multiple sites for central monitoring. Requires web-based Interface A2-AID-INTERFACE-xx. </t>
    </r>
    <r>
      <rPr>
        <rFont val="Arial"/>
        <b/>
        <color rgb="FF000000"/>
        <sz val="12.0"/>
      </rPr>
      <t>ORDER NOTE: Final Bill of Materials for AID project needs to be validated, please contact your local sales representative.</t>
    </r>
  </si>
  <si>
    <t>A2-AID-CENTRAL-BD8</t>
  </si>
  <si>
    <t>Multi-site Central Software
(up to 8 management servers)</t>
  </si>
  <si>
    <r>
      <rPr>
        <rFont val="Arial"/>
        <color rgb="FF000000"/>
        <sz val="12.0"/>
      </rPr>
      <t xml:space="preserve">License bundle to connect up to 8 management servers to unify multiple sites for central monitoring. Requires web-based Interface A2-AID-INTERFACE-xx. </t>
    </r>
    <r>
      <rPr>
        <rFont val="Arial"/>
        <b/>
        <color rgb="FF000000"/>
        <sz val="12.0"/>
      </rPr>
      <t>ORDER NOTE: Final Bill of Materials for AID project needs to be validated, please contact your local sales representative.</t>
    </r>
  </si>
  <si>
    <t>A2-AID-INTEGRATION</t>
  </si>
  <si>
    <t>Integration Module License
(1 per management server)</t>
  </si>
  <si>
    <r>
      <rPr>
        <rFont val="Arial"/>
        <color rgb="FF000000"/>
        <sz val="12.0"/>
      </rPr>
      <t xml:space="preserve">Integration module license for single management server. Enables integration with Wisenet WAVE VMS and protocols scuh as MODBUS and OPC. </t>
    </r>
    <r>
      <rPr>
        <rFont val="Arial"/>
        <b/>
        <color rgb="FF000000"/>
        <sz val="12.0"/>
      </rPr>
      <t>ORDER NOTE: Final Bill of Materials for AID project needs to be validated, please contact your local sales representative.</t>
    </r>
  </si>
  <si>
    <t>A2-AID-RMSERV-D</t>
  </si>
  <si>
    <t>Remote professional services
(day rate)</t>
  </si>
  <si>
    <r>
      <rPr>
        <rFont val="Arial"/>
        <color rgb="FF000000"/>
        <sz val="12.0"/>
      </rPr>
      <t xml:space="preserve">Day rate for remote professional services that include system configuration, calibration, testing and training. </t>
    </r>
    <r>
      <rPr>
        <rFont val="Arial"/>
        <b/>
        <color rgb="FF000000"/>
        <sz val="12.0"/>
      </rPr>
      <t>ORDER NOTE: Final Bill of Materials for AID project needs to be validated, please contact your local sales representative.</t>
    </r>
  </si>
  <si>
    <t>A2-AID-RMSERV-H</t>
  </si>
  <si>
    <t>Remote professional services
(hourly rate)</t>
  </si>
  <si>
    <r>
      <rPr>
        <rFont val="Arial"/>
        <color rgb="FF000000"/>
        <sz val="12.0"/>
      </rPr>
      <t xml:space="preserve">Hourly rate for remote professional services that include system configuration, calibration, testing and training. </t>
    </r>
    <r>
      <rPr>
        <rFont val="Arial"/>
        <b/>
        <color rgb="FF000000"/>
        <sz val="12.0"/>
      </rPr>
      <t>ORDER NOTE: Final Bill of Materials for AID project needs to be validated, please contact your local sales representative.</t>
    </r>
  </si>
  <si>
    <t>Storage</t>
  </si>
  <si>
    <t>Seagate SkyHawk AI HDD 10TB (ST10000VE001)</t>
  </si>
  <si>
    <t>ST2000NM000B-HW</t>
  </si>
  <si>
    <t>Seagate EXOS Enterprise HDD 2TB (ST2000NM000B)</t>
  </si>
  <si>
    <t>Seagate EXOS 2TB 3.5" Enterprise HDD drive for use in Storage Servers and NVR that requires RAID storage, SATA 6Gb/s, 2 M hours MTBF, Workload rate limit 550 TB/year (ST2000NM000B)</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</si>
  <si>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</si>
  <si>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</si>
  <si>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</si>
  <si>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</si>
  <si>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</si>
  <si>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</si>
  <si>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ST8000NM019B-HW</t>
  </si>
  <si>
    <t>Seagate EXOS Enterprise HDD 8TB (ST8000NM019B)</t>
  </si>
  <si>
    <t>Seagate EXOS 8TB 3.5" Enterprise HDD drive for use in Storage Servers and NVR that requires RAID storage, SATA 6Gb/s, 2 M hours MTBF, Workload rate limit 550 TB/year (ST8000NM019B)</t>
  </si>
  <si>
    <t>ST10000NM017B-HW</t>
  </si>
  <si>
    <t>Seagate EXOS Enterprise HDD 10TB (ST10000NM017B)</t>
  </si>
  <si>
    <t>Seagate EXOS 10TB 3.5" Enterprise HDD drive for use in Storage Servers and NVR that requires RAID storage, SATA 6Gb/s, 2.5 M hours MTBF, Workload rate limit 550 TB/year (ST10000NM017B)</t>
  </si>
  <si>
    <t>GJD</t>
  </si>
  <si>
    <t>Security Lights</t>
  </si>
  <si>
    <t>SECL-IR850-POE-S</t>
  </si>
  <si>
    <t>Small POE IR LED Illuminator</t>
  </si>
  <si>
    <t>Small IR 850nm LED wall mount Illuminator, PoE 12W, max distances 101m, adjustable photocell sensitivity, illumination brightness, volt-free contact for remote switching, includes interchangeable lenses 10, 30, 60, 95 degree, IP66, IK09</t>
  </si>
  <si>
    <t>SECL-IR850-IPPOEPL-M</t>
  </si>
  <si>
    <t>Medium IP POE IR LED Illuminator</t>
  </si>
  <si>
    <t>Medium IR 850nm LED wall mount Illuminator, IP based, PoE+ 26W, max distances 187m, web interface settings for manual on/off, energy saving, boost, photocell sensitivity, illumination brightness, vibration sensor, volt-free contact for remote switching, includes interchangeable lenses 10, 30, 60, 95 degree, IP66, IK09</t>
  </si>
  <si>
    <t>SECL-WL928-POE-S</t>
  </si>
  <si>
    <t>Small POE White Light LED Illuminator</t>
  </si>
  <si>
    <t>Small White Light 928lm 6500k LED wall mount Illuminator, PoE 12W, max distances 68m, adjustable photocell sensitivity, illumination brightness, volt-free contact for remote switching, includes interchangeable lenses 10, 30, 60, 95 degree, IP66, IK09</t>
  </si>
  <si>
    <t>SECL-WL1856-IPPOEPL-M</t>
  </si>
  <si>
    <t>Medium IP POE White Light LED Illuminator</t>
  </si>
  <si>
    <t>Medium White Light 1856lm 6500k LED wall mount Illuminator, IP based, PoE+ 26W, max distances 114m, web interface settings for manual on/off, energy saving, boost, strobe, photocell sensitivity, illumination brightness, vibration sensor, volt-free contact for remote switching, includes interchangeable lenses 10, 30, 60, 95 degree, IP66, IK09</t>
  </si>
  <si>
    <t>SECL-BRCKT-WALL-1</t>
  </si>
  <si>
    <t>Single Wall Bracket for Illuminators</t>
  </si>
  <si>
    <t>Single wall mount bracket for IR and White Light illuminators, stainless steel construction</t>
  </si>
  <si>
    <t>SECL-BRCKT-WALL-2</t>
  </si>
  <si>
    <t>Double Wall Bracket for Illuminators</t>
  </si>
  <si>
    <t>Double wall mount bracket for IR and White Light illuminators, stainless steel construction, Includes IP67 rated junction box</t>
  </si>
  <si>
    <t>SECL-BRCKT-WALL-3</t>
  </si>
  <si>
    <t>Triple Wall Bracket for Illuminators</t>
  </si>
  <si>
    <t>Triple wall mount bracket for IR and White Light illuminators, stainless steel construction, Includes IP67 rated junction box</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</si>
  <si>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</si>
  <si>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</si>
  <si>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</si>
  <si>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</si>
  <si>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</si>
  <si>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</si>
  <si>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SECL-BRCKT-POLE</t>
  </si>
  <si>
    <t>Pole Mount Bracket for Illuminators</t>
  </si>
  <si>
    <t>Pole mounting bracket for IR and White Light illuminators and wall mount brackets, stainless steel construction, includes stainless steel straps to fit 7.5 to 20 cm diameter pole</t>
  </si>
  <si>
    <t>Displays</t>
  </si>
  <si>
    <t>LS24D302GAUXEN</t>
  </si>
  <si>
    <r>
      <rPr>
        <rFont val="Arial"/>
        <color rgb="FFFF0000"/>
        <sz val="12.0"/>
      </rPr>
      <t xml:space="preserve">Lead time 12 weeks
</t>
    </r>
    <r>
      <rPr>
        <rFont val="Arial"/>
        <color theme="1"/>
        <sz val="12.0"/>
      </rPr>
      <t>NDAA Compliant</t>
    </r>
  </si>
  <si>
    <t>24" FHD Monitor, 1080p (1920x1080), 250nit, 16:9 aspect ratio, Contrast ratio 1,000:1, Response time 4ms, HDMI, VGA, DVI, Speakers, VESA</t>
  </si>
  <si>
    <t>LS27D302GAUXEN</t>
  </si>
  <si>
    <r>
      <rPr>
        <rFont val="Arial"/>
        <color rgb="FFFF0000"/>
        <sz val="12.0"/>
      </rPr>
      <t xml:space="preserve">Lead time 12 weeks
</t>
    </r>
    <r>
      <rPr>
        <rFont val="Arial"/>
        <color theme="1"/>
        <sz val="12.0"/>
      </rPr>
      <t>NDAA Compliant</t>
    </r>
  </si>
  <si>
    <t>27" FHD Monitor, 1080p (1920x1080), 250nit, 16:9 aspect ratio, Contrast ratio 3,000:1, Response time 5ms, HDMI, VGA, DVI, Speakers, VESA</t>
  </si>
  <si>
    <t>LH32DCE2LGC/EN</t>
  </si>
  <si>
    <t>32" FHD LED Display</t>
  </si>
  <si>
    <r>
      <rPr>
        <rFont val="Arial"/>
        <color theme="1"/>
        <sz val="12.0"/>
      </rPr>
      <t xml:space="preserve">NDAA Compliant
</t>
    </r>
    <r>
      <rPr>
        <rFont val="Arial"/>
        <color rgb="FFFF0000"/>
        <sz val="12.0"/>
      </rPr>
      <t>EOS
Limited stock available</t>
    </r>
  </si>
  <si>
    <t>32" FHD LED Monitor, 1080p (1920x1080), 250nit, 16:9 aspect ratio, Contrast ratio 5,000:1, Response time 8ms, HDMI, HDCP2.2 VGA</t>
  </si>
  <si>
    <t>Signage</t>
  </si>
  <si>
    <t>LH32QMCEBGCXEN</t>
  </si>
  <si>
    <t>32" Smart Signage Display</t>
  </si>
  <si>
    <r>
      <rPr>
        <rFont val="Arial"/>
        <color rgb="FFFF0000"/>
        <sz val="12.0"/>
      </rPr>
      <t xml:space="preserve">Lead time 12 weeks
</t>
    </r>
    <r>
      <rPr>
        <rFont val="Arial"/>
        <color theme="1"/>
        <sz val="12.0"/>
      </rPr>
      <t>NDAA Compliant</t>
    </r>
  </si>
  <si>
    <t>32" Edge LED Samsung Stand Alone Smart Signage Display, 1920x1080 (16:9), Ultra Slim Depth (28.5mm), Even Bezel, 400nit, Tizen 7.0 - Wi-Fi* - 8GB, Contrast ratio 1,200:1, 3xHDMI 2.0, No DP, VESA Compatible (100x100mm), Ambient Sensor, New Home UI, IP5x, BT</t>
  </si>
  <si>
    <t>LH43QMCEPGCXEN</t>
  </si>
  <si>
    <t>4K UHD 43" Smart Signage Display</t>
  </si>
  <si>
    <r>
      <rPr>
        <rFont val="Arial"/>
        <color rgb="FFFF0000"/>
        <sz val="12.0"/>
      </rPr>
      <t xml:space="preserve">Lead time 12 weeks
</t>
    </r>
    <r>
      <rPr>
        <rFont val="Arial"/>
        <color theme="1"/>
        <sz val="12.0"/>
      </rPr>
      <t>NDAA Compliant</t>
    </r>
  </si>
  <si>
    <t>43" Edge UHD LED Samsung Stand Alone Smart Signage Display, 3840x2160 (16:9), Ultra Slim Depth (28.5mm), Even Bezel, 500nit, Tizen 7.0 - Wi-Fi - 16GB, Contrast ratio 1,200:1, 3xHDMI 2.0, 1x DP 1.2, WMN-B50SC , VESA Compatible (200x200mm), Ambient Sensor, New Home UI, IP5x, BT</t>
  </si>
  <si>
    <t>LH50QMCEPGCXEN</t>
  </si>
  <si>
    <t>4K UHD 50" Smart Signage Display</t>
  </si>
  <si>
    <r>
      <rPr>
        <rFont val="Arial"/>
        <color rgb="FFFF0000"/>
        <sz val="12.0"/>
      </rPr>
      <t xml:space="preserve">Lead time 12 weeks
</t>
    </r>
    <r>
      <rPr>
        <rFont val="Arial"/>
        <color theme="1"/>
        <sz val="12.0"/>
      </rPr>
      <t>NDAA Compliant</t>
    </r>
  </si>
  <si>
    <t>50" Edge UHD LED Samsung Stand Alone Smart Signage Display, 3840x2160 (16:9), Ultra Slim Depth (28.5mm), Even Bezel, 500nit, Tizen 7.0 - Wi-Fi - 16GB, Contrast ratio 1,200:1, 3xHDMI 2.0, 1x DP 1.2, WMN-B50SC , VESA Compatible (200x200mm), Ambient Sensor, New Home UI, IP5x, BT</t>
  </si>
  <si>
    <t>LH55QMCEBGCXEN</t>
  </si>
  <si>
    <t>4K UHD 55" Smart Signage Display</t>
  </si>
  <si>
    <r>
      <rPr>
        <rFont val="Arial"/>
        <color rgb="FFFF0000"/>
        <sz val="12.0"/>
      </rPr>
      <t xml:space="preserve">Lead time 12 weeks
</t>
    </r>
    <r>
      <rPr>
        <rFont val="Arial"/>
        <color theme="1"/>
        <sz val="12.0"/>
      </rPr>
      <t>NDAA Compliant</t>
    </r>
  </si>
  <si>
    <t>55" Edge UHD LED Samsung Stand Alone Smart Signage Display, 3840x2160 (16:9), Ultra Slim Depth (28.5mm), Even Bezel, 500nit, Tizen 7.0 - Wi-Fi - 16GB, Contrast ratio 4,000:1, 3xHDMI 2.0, 1x DP 1.2, WMN-B50SC , VESA Compatible (200x200mm), Ambient Sensor, New Home UI, IP5x, BT</t>
  </si>
  <si>
    <t>LH65QMCEBGCXEN</t>
  </si>
  <si>
    <t>4K UHD 65" Smart Signage Display</t>
  </si>
  <si>
    <r>
      <rPr>
        <rFont val="Arial"/>
        <color rgb="FFFF0000"/>
        <sz val="12.0"/>
      </rPr>
      <t xml:space="preserve">Lead time 12 weeks
</t>
    </r>
    <r>
      <rPr>
        <rFont val="Arial"/>
        <color theme="1"/>
        <sz val="12.0"/>
      </rPr>
      <t>NDAA Compliant</t>
    </r>
  </si>
  <si>
    <t>65" Edge UHD LED Samsung Stand Alone Smart Signage Display, 3840x2160 (16:9), Ultra Slim Depth (28.5mm), Even Bezel, 500nit, Tizen 7.0 - Wi-Fi - 16GB, Contrast ratio 4,000:1, 3xHDMI 2.0, 1x DP 1.2, WMN-B50SC , VESA Compatible (400x300mm), Ambient Sensor, New Home UI, IP5x, BT</t>
  </si>
  <si>
    <t>LH75QMCEBGCXEN</t>
  </si>
  <si>
    <t>4K UHD 75" Smart Signage Display</t>
  </si>
  <si>
    <r>
      <rPr>
        <rFont val="Arial"/>
        <color rgb="FFFF0000"/>
        <sz val="12.0"/>
      </rPr>
      <t xml:space="preserve">Lead time 12 weeks
</t>
    </r>
    <r>
      <rPr>
        <rFont val="Arial"/>
        <color theme="1"/>
        <sz val="12.0"/>
      </rPr>
      <t>NDAA Compliant</t>
    </r>
  </si>
  <si>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</si>
  <si>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</si>
  <si>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</si>
  <si>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r>
      <rPr>
        <rFont val="Arial"/>
        <color rgb="FFFF0000"/>
        <sz val="12.0"/>
      </rPr>
      <t xml:space="preserve">Lead time 12 weeks
</t>
    </r>
    <r>
      <rPr>
        <rFont val="Arial"/>
        <color theme="1"/>
        <sz val="12.0"/>
      </rPr>
      <t>NDAA Compliant</t>
    </r>
  </si>
  <si>
    <t>85" Edge UHD LED Samsung Stand Alone Smart Signage Display, 3840x2160 (16:9), Ultra Slim Depth (28.5mm), Even Bezel, 500nit, Tizen 7.0 - Wi-Fi - 16GB, Contrast ratio 4,000:1, 3xHDMI 2.0, 1x DP 1.2, VESA Compatible (600x400mm), Ambient Sensor, New Home UI, IP5x, BT</t>
  </si>
  <si>
    <t>Videowall</t>
  </si>
  <si>
    <t>LH46VMBUBGBXEN</t>
  </si>
  <si>
    <t>46'' FHD Super Thin Bezel Videowall Display</t>
  </si>
  <si>
    <r>
      <rPr>
        <rFont val="Arial"/>
        <color rgb="FFFF0000"/>
        <sz val="12.0"/>
      </rPr>
      <t xml:space="preserve">Lead time 12 weeks
</t>
    </r>
    <r>
      <rPr>
        <rFont val="Arial"/>
        <color theme="1"/>
        <sz val="12.0"/>
      </rPr>
      <t>NDAA Compliant</t>
    </r>
  </si>
  <si>
    <t>46" Direct FHD LED Samsung Videowall Display, 1920x1080 (16:9), Super Thin Bezel (Bezel to Bezel 3.5mm), 500nit, Contrast ratio 1,200:1, Response time 8ms, 2x HDMI 2.0, 1x DP 1.2, WMN-55VD, 4K Daisy Chain, VESA Compatible (600x400mm)</t>
  </si>
  <si>
    <t>LH55VMBUBGBXEN</t>
  </si>
  <si>
    <t>55'' FHD Super Thin Bezel Videowall Display</t>
  </si>
  <si>
    <r>
      <rPr>
        <rFont val="Arial"/>
        <color rgb="FFFF0000"/>
        <sz val="12.0"/>
      </rPr>
      <t xml:space="preserve">Lead time 12 weeks
</t>
    </r>
    <r>
      <rPr>
        <rFont val="Arial"/>
        <color theme="1"/>
        <sz val="12.0"/>
      </rPr>
      <t>NDAA Compliant</t>
    </r>
  </si>
  <si>
    <t>55" Direct FHD LED Samsung Videowall Display, 1920x1080 (16:9), Super Thin Bezel (Bezel to Bezel 3.5mm), 500nit, Contrast ratio 1,200:1, Response time 8ms, 2x HDMI 2.0, 1x DP 1.2, WMN-55VD, 4K Daisy Chain, VESA Compatible (600x400mm)</t>
  </si>
  <si>
    <t>LH55VMCEBGBXEN</t>
  </si>
  <si>
    <t>55'' FHD Ultra Thin Bezel Videowall Display</t>
  </si>
  <si>
    <r>
      <rPr>
        <rFont val="Arial"/>
        <color rgb="FFFF0000"/>
        <sz val="12.0"/>
      </rPr>
      <t xml:space="preserve">Lead time 12 weeks
</t>
    </r>
    <r>
      <rPr>
        <rFont val="Arial"/>
        <color theme="1"/>
        <sz val="12.0"/>
      </rPr>
      <t>NDAA Compliant</t>
    </r>
  </si>
  <si>
    <t>55" Direct FHD LED Samsung Videowall Display, 1920x1080 (16:9), Ultra Thin Bezel (Bezel to Bezel 1.7mm), 500nit, Contrast ratio 1,000:1, Response time 8ms, 2x HDMI 2.0, 1x DP 1.2, WMN-55VD, 4K Daisy Chain, VESA Compatible (600x400mm)</t>
  </si>
  <si>
    <t>LH55VHCEBGBXEN</t>
  </si>
  <si>
    <r>
      <rPr>
        <rFont val="Arial"/>
        <color rgb="FFFF0000"/>
        <sz val="12.0"/>
      </rPr>
      <t xml:space="preserve">Lead time 12 weeks
</t>
    </r>
    <r>
      <rPr>
        <rFont val="Arial"/>
        <color theme="1"/>
        <sz val="12.0"/>
      </rPr>
      <t>NDAA Compliant</t>
    </r>
  </si>
  <si>
    <t>55" Direct FHD LED Samsung Videowall Display, 1920x1080 (16:9), Ultra Thin Bezel (Bezel to Bezel 1.7mm), 700nit, Contrast ratio 1,000:1, Response time 8ms, 2x HDMI 2.0, 1x DP 1.2, WMN-55VD, 4K Daisy Chain, VESA Compatible (600x400mm)</t>
  </si>
  <si>
    <t>LH55VMCRBGBXEN</t>
  </si>
  <si>
    <t>55'' FHD Razor Thin Bezel Videowall Display</t>
  </si>
  <si>
    <r>
      <rPr>
        <rFont val="Arial"/>
        <color rgb="FFFF0000"/>
        <sz val="12.0"/>
      </rPr>
      <t xml:space="preserve">Lead time 12 weeks
</t>
    </r>
    <r>
      <rPr>
        <rFont val="Arial"/>
        <color theme="1"/>
        <sz val="12.0"/>
      </rPr>
      <t>NDAA Compliant</t>
    </r>
  </si>
  <si>
    <t>55" Direct FHD LED Samsung Videowall Display, 1920x1080 (16:9), Razor Thin Bezel (Bezel to Bezel 1.7mm), 500nit, Contrast ratio 1,000:1, Response time 8ms, 2x HDMI 2.0, 1x DP 1.2, WMN-55VD, 4K Daisy Chain, VESA Compatible (600x400mm)</t>
  </si>
  <si>
    <t>LH55VHCRBGBXEN</t>
  </si>
  <si>
    <r>
      <rPr>
        <rFont val="Arial"/>
        <color rgb="FFFF0000"/>
        <sz val="12.0"/>
      </rPr>
      <t xml:space="preserve">Lead time 12 weeks
</t>
    </r>
    <r>
      <rPr>
        <rFont val="Arial"/>
        <color theme="1"/>
        <sz val="12.0"/>
      </rPr>
      <t>NDAA Compliant</t>
    </r>
  </si>
  <si>
    <t>55" Direct FHD LED Samsung Videowall Display, 1920x1080 (16:9), Razor Thin Bezel (Bezel to Bezel 1.7mm), 700nit, Contrast ratio 1,000:1, Response time 8ms, 2x HDMI 2.0, 1x DP 1.2, WMN-55VD, 4K Daisy Chain, VESA Compatible (600x400mm)</t>
  </si>
  <si>
    <t>Video Recording Servers</t>
  </si>
  <si>
    <t>Server + Storage</t>
  </si>
  <si>
    <t>1U-4BAY-SERVER-12TB-RAW</t>
  </si>
  <si>
    <t>1U 4 Bay Hot-swap Rackmount Server</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</si>
  <si>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</si>
  <si>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1U-4BAY-SERVER-24TB-RAW</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</si>
  <si>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</si>
  <si>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1U-4BAY-SERVER-32TB-RAW</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</si>
  <si>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</si>
  <si>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1U-4BAY-SERVER-40TB-RAW</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</si>
  <si>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</si>
  <si>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1U-4BAY-SERVER-48TB-RAW</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</si>
  <si>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</si>
  <si>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1U-4BAY-SERVER-56TB-RAW</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</si>
  <si>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</si>
  <si>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Server Config</t>
  </si>
  <si>
    <t>1U-4BAY-SERVER-RAID6CONFIG</t>
  </si>
  <si>
    <t>RAID6 configuration</t>
  </si>
  <si>
    <t>RAID6 configuration applies to 1U 4 Bay Hot-swap Rackmount Servers (1U-4BAY-SERVER), changing from default RAID5 configuration to RAID6, useable storage will be affected</t>
  </si>
  <si>
    <t>2U-12BAY-SERVER-64TB-RAW</t>
  </si>
  <si>
    <t>2U 12 Bay Hot-swap Rackmount Server</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</si>
  <si>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</si>
  <si>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2U-12BAY-SERVER-72TB-RAW</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</si>
  <si>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</si>
  <si>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2U-12BAY-SERVER-80TB-RAW</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</si>
  <si>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</si>
  <si>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2U-12BAY-SERVER-88TB-RAW</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</si>
  <si>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</si>
  <si>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2U-12BAY-SERVER-96TB-RAW</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</si>
  <si>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</si>
  <si>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2U-12BAY-SERVER-110TB-RAW</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</si>
  <si>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</si>
  <si>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2U-12BAY-SERVER-120TB-RAW</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</si>
  <si>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</si>
  <si>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2U-12BAY-SERVER-144TB-RAW</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</si>
  <si>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</si>
  <si>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2U-12BAY-SERVER-168TB-RAW</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</si>
  <si>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</si>
  <si>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2U-12BAY-SERVER-192TB-RAW</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</si>
  <si>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</si>
  <si>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t>2U-12BAY-SERVER-RAID6CONFIG</t>
  </si>
  <si>
    <t>RAID6 configuration applies to 2U 12 Bay Hot-swap Rackmount Servers (2U-12BAY-SERVER), changing from default RAID5 configuration to RAID6, useable storage will be affected</t>
  </si>
  <si>
    <t>Server Upgrade</t>
  </si>
  <si>
    <t>10GB NIC-UPGRADE</t>
  </si>
  <si>
    <t>2U Server upgrade Card</t>
  </si>
  <si>
    <t>2 Port Intel 10GbE Lan Card - RJ45 Copper (2U servers only)</t>
  </si>
  <si>
    <t>Client</t>
  </si>
  <si>
    <t>CLIENT-QUBE-i5-2MO</t>
  </si>
  <si>
    <t>Mini Qube 4 Bay client with on-board Intel 730 GPU, Intel Core 12th Gen i5 10 Cores</t>
  </si>
  <si>
    <t>Mini Qube 4 Bay client with on-board Intel 730 GPU, Intel Core 12th Gen i5 10 Cores, 16GB RAM, 2 x 1Gbe, 1 x DP (with HDMI adaptor), 1x HDMI, Win 11 PRO, 250GB SSD, 250W PSU, 5 Year NBD Warranty, Includes 1 x Power Cable and Keyboard/Mouse set</t>
  </si>
  <si>
    <t>CLIENT-QUBE-i7-2MO</t>
  </si>
  <si>
    <t>Mini Qube 4 Bay client with on-board Intel 770 GPU, Intel Core 12th Gen i7 10 Cores</t>
  </si>
  <si>
    <t>Mini Qube 4 Bay client with on-board Intel 770 GPU, Intel Core 12th Gen i7 10 Cores, 16GB RAM, 2 x 1Gbe, 1 x DP (with HDMI adaptor), 1x HDMI, Win 11 PRO, 250GB SSD, 250W PSU, 5 Year NBD Warranty, Includes 1 x Power Cable and Keyboard/Mouse set</t>
  </si>
  <si>
    <t>CLIENT-QUBE-i7-2MO-4TB</t>
  </si>
  <si>
    <t>Mini Qube 4 Bay client with 4TB HDD</t>
  </si>
  <si>
    <t>Mini Qube 4 Bay 4TB JBOD HDD client with on-board Intel 730 GPU, Intel Core 12th Gen i7 10 Cores, 16GB RAM, 2 x 1Gbe, 1 x DP (with HDMI adaptor), 1x HDMI, Win 11 PRO, 250GB SSD, 250W PSU, 5 Year NBD Warranty, Includes 1 x Power Cable and Keyboard/Mouse set</t>
  </si>
  <si>
    <t>CLIENT-QUBE-i7-2MO-8TB</t>
  </si>
  <si>
    <t>Mini Qube 4 Bay client with 8TB HDD</t>
  </si>
  <si>
    <t>Mini Qube 4 Bay 8TB JBOD HDD client with on-board Intel 730 GPU, Intel Core 12th Gen i7 10 Cores, 16GB RAM, 2 x 1Gbe, 1 x DP (with HDMI adaptor), 1x HDMI, Win 11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</si>
  <si>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</si>
  <si>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</si>
  <si>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11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</si>
  <si>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</si>
  <si>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</si>
  <si>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11 PRO, 250GB SSD, 250W PSU, 5 Year NBD Warranty, Includes 1 x Power Cable and Keyboard/Mouse set</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</si>
  <si>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</si>
  <si>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</si>
  <si>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</si>
  <si>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</si>
  <si>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</si>
  <si>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</si>
  <si>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</si>
  <si>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</si>
  <si>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QUBE-i7-2MO-4TB--4-MON-UPGRADE-T1000</t>
  </si>
  <si>
    <t>Mini Qube 4 Bay 4TB JBOD HDD with Intel T1000 GPU</t>
  </si>
  <si>
    <t>Mini Qube 4 Bay 4TB JBOD HDD inc client with Intel T1000 GPU, Intel Core 12th Gen i7 10 Cores, 16GB RAM, 2 x 1Gbe, 4x mini Display port (with full size display port adaptors), Win 11 PRO, 250GB SSD, 250W PSU, 5 Year NBD Warranty, Includes 1 x Power Cable and Keyboard/Mouse set</t>
  </si>
  <si>
    <t>SL-1U-RCKMNT-CLIENT-2MO</t>
  </si>
  <si>
    <t>1U Rack mount Client 2x monitor out</t>
  </si>
  <si>
    <t>1U Rack mount Client 2x monitor out i7 16GB RAM 250GB SSD Nvidia Quadro P400 GPU 2x GB LAN Windows 11</t>
  </si>
  <si>
    <t>SL-1U-RCKMNT-CLIENT-4MO</t>
  </si>
  <si>
    <t>1U Rack mount Client 4x monitor out</t>
  </si>
  <si>
    <t>1U Rack mount Client 4x monitor out i7 16GB RAM 250GB SSD Nvidia Quadro T1000 GPU 2x GB LAN Windows 11</t>
  </si>
  <si>
    <t>Management Server</t>
  </si>
  <si>
    <t>1U-MSERVER</t>
  </si>
  <si>
    <t>1U 4 Bay Hot-swap Rackmount Management Server</t>
  </si>
  <si>
    <t>1U 4 Bay Hot-swap Rackmount Management Server, Intel Xenon E 6 Core, 16GB RAM, 2 x 1Gbe, On-board VGA, Windows Server 2022, 2 x 240GB SSD in RAID1, 300W Redundant PSU, 5 Year NBD Warranty, Includes 2 x Power Cables, Rack-mount kit and Keyboard/Mouse set (2TB HDD incuded)</t>
  </si>
  <si>
    <t>AMG</t>
  </si>
  <si>
    <t>PoE Power Supply</t>
  </si>
  <si>
    <t>AMGPSU-I24-P60</t>
  </si>
  <si>
    <t>PoE Power Supply 60W</t>
  </si>
  <si>
    <t>AMGPSU-I24-P60 60W AC/DC 85-264Vin, 24Vout Power Supply, DIN-Rail mount</t>
  </si>
  <si>
    <t>AMGPSU-I48-P240</t>
  </si>
  <si>
    <t>PoE Power Supply 240W</t>
  </si>
  <si>
    <t>48 VDC, 240W (5A) Industrial Power Supply, DIN-Rail Mounting, -40°C to +70°C, Fault Relay Output (Adjustable 48-53 VDC)</t>
  </si>
  <si>
    <t>SFP Multimode</t>
  </si>
  <si>
    <t>SFP-MM-100M-BX2-31</t>
  </si>
  <si>
    <t>SFP Multimode, 100Mb, 1 Fiber, 2Km, LC Connector, 1310nm Tx / 1550nm Rx, -40°C to +85°C, DDM (Mates With SFP-MM-100M-BX2-55)</t>
  </si>
  <si>
    <t>SFP-MM-100M-BX2-55</t>
  </si>
  <si>
    <t>SFP Multimode, 100Mb, 1 Fiber, 2Km, LC Connector, 1550nm Tx / 1310nm Rx, -40°C to +85°C, DDM (Mates With SFP-MM-100M-BX2-31)</t>
  </si>
  <si>
    <t>SFP Singlemode</t>
  </si>
  <si>
    <t>SFP-SM-100M-BX20-31</t>
  </si>
  <si>
    <t>SFP Singlemode, 100Mb, 1 Fiber, 20Km, LC Connector, 1310nm Tx / 1550nm Rx, -40°C to +85°C, DDM (Mates With SFP-SM-100M-BX20-55)</t>
  </si>
  <si>
    <t>SFP-SM-100M-BX20-55</t>
  </si>
  <si>
    <t>SFP Singlemode, 100Mb, 1 Fiber, 20Km, LC Connector, 1550nm Tx / 1310nm Rx, -40°C to +85°C, DDM (Mates With SFP-SM-100M-BX20-31)</t>
  </si>
  <si>
    <t>PoE injector</t>
  </si>
  <si>
    <t>AMG150-2GBT-P180/HWEU</t>
  </si>
  <si>
    <t>Industrial 2 Port PoE Injector</t>
  </si>
  <si>
    <t>Industrial 2 Port PoE Injector, 2 x 10/100/1000Base-T(x) RJ45 Ports With 802.3bt 60/90W PoE, Can Be 1 x In &amp; 1 x 90W Out Or 2 x 90W Out, DIN Rail / Wall Mount, -40°C to +75°C, 48-56 VDC Power Input</t>
  </si>
  <si>
    <t>AMG150-4GAT-P120/HWEU</t>
  </si>
  <si>
    <t>Industrial 4 Port PoE Injector</t>
  </si>
  <si>
    <t>Industrial 4 Port PoE Injector, 4 x 10/100/1000Base-T(x) RJ45 Ports (Input), 4 x 10/100/1000Base-T(x) RJ45 Ports With 802.3at 30W PoE (Output), DIN Rail / Wall Mount, -40°C to +75°C, 48-56 VDC Power Input</t>
  </si>
  <si>
    <t>PoE 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</si>
  <si>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</si>
  <si>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</si>
  <si>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</si>
  <si>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</si>
  <si>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</si>
  <si>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</si>
  <si>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</si>
  <si>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SNI</t>
  </si>
  <si>
    <t>PoE Converter</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</si>
  <si>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</si>
  <si>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</si>
  <si>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</si>
  <si>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</si>
  <si>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Industrial PoE Mini Media Converter 1 x 10/100/1000Base-T(x) RJ45 Port with 802.3bt 60/90W PoE, 1 x 100/1000Base-Fx SFP Port, DIP-Switch Functions, DIN Rail / Wall Mount, -40°C to +75°C, 85-264 VAC Terminal connection.</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</si>
  <si>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</si>
  <si>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</si>
  <si>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</si>
  <si>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</si>
  <si>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</si>
  <si>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SFP Copper</t>
  </si>
  <si>
    <t>SNI-SFP-CU</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</si>
  <si>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</si>
  <si>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</si>
  <si>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</si>
  <si>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</si>
  <si>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</si>
  <si>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SNI-PS-120</t>
  </si>
  <si>
    <t>PoE Power Supply 120W</t>
  </si>
  <si>
    <t>48 VDC, 120W (2.5A) Industrial Power Supply, DIN-Rail Mounting, -40°C to +70°C, 
Fault Relay Output (Adjustable 47-53 VDC)</t>
  </si>
  <si>
    <t>Elmdene Universal Enclosure Cabinets</t>
  </si>
  <si>
    <t>Enclosure</t>
  </si>
  <si>
    <t>Access-12V5A-HV</t>
  </si>
  <si>
    <t>Large Universal Enclosure Cabinet</t>
  </si>
  <si>
    <t>Hanwha Large Universal Enclosure Cabinet is designed to accommodate a wide range of third-party security, access control, industrial automation &amp; networking devices. Featuring a rear mesh backing allows flexible placement of hardware with direct mounting or din-rail reducing installation restrictions.
The enclosure includes a removable door with a key-lock ensuring secure access for installation and maintenance supported by front and rear tamper switches for additional security. 90-264V AC, 50/60Hz switch-mode PSU rated at 5A, delivering a 13.8V, 500mA battery charging output, supporting a 12V17Ah battery for backup power. 12x screws supporting the placement of Hanwha Wisenet Access Control modules. Dimensions: H520mm × W418mm × D105mm</t>
  </si>
  <si>
    <t>ACCESS-POE-HV</t>
  </si>
  <si>
    <t>Medium Universal Enclosure Cabinet</t>
  </si>
  <si>
    <t>Hanwha Medium Universal Enclosure Cabinet is designed to accommodate a wide range of third-party security, access control, industrial automation &amp;  networking devices. Featuring a rear mesh backing allows flexible placement of hardware with direct mounting or din-rail reducing installation restrictions. The enclosure includes a removable door with a key-lock ensuring secure access for installation and maintenance supported by front and rear tamper switches for additional security. PoE/PoE+/PoE++ PSU (rated @ PoE 300mA, PoE+ 1A &amp; PoE++ 3A), delivering a 13.8V, 500mA battery charging output, supporting a 12V17Ah battery for backup power. 4x screws supporting the placement of a Hanwha Wisenet Access Control module. Dimensions: H350mm x W398mm x D103mm.</t>
  </si>
  <si>
    <t>SAS109314</t>
  </si>
  <si>
    <t>Optional Spare Enclosure Cabinet Key</t>
  </si>
  <si>
    <t>Hanwha branded medium and large universal cabinet optional spare key.</t>
  </si>
  <si>
    <t>Lenses</t>
  </si>
  <si>
    <t>TAMRON-M13VG550IR</t>
  </si>
  <si>
    <t xml:space="preserve">2MP Lens DC Iris CS-Mount </t>
  </si>
  <si>
    <t>2MP Lens, 1/3", varifocal (5-50mm), DC Auto Iris, CS-Mount, TAMRON</t>
  </si>
  <si>
    <t>TAMRON-M13VG2713IR</t>
  </si>
  <si>
    <t xml:space="preserve">3MP Lens DC Iris CS-Mount </t>
  </si>
  <si>
    <t>3MP Lens, 1/2.7", varifocal (2.7-13mm), DC Auto Iris, CS-Mount, TAMRON</t>
  </si>
  <si>
    <t>TAMRON-M13VG288IR</t>
  </si>
  <si>
    <t>3MP Lens, 1/2.7", varifocal (2.8-8mm), DC Auto Iris, CS-Mount, TAMRON</t>
  </si>
  <si>
    <t>TAMRON-M13VG850IR</t>
  </si>
  <si>
    <t>3MP Lens, 1/2.7", varifocal (8-50mm), DC Auto Iris, CS-Mount, TAMRON</t>
  </si>
  <si>
    <t>TAMRON-M118VG1250IR</t>
  </si>
  <si>
    <t xml:space="preserve">5MP Lens DC Iris CS-Mount </t>
  </si>
  <si>
    <t>5MP Lens, 1/1.8", varifocal (12-50mm), DC Auto Iris, CS-Mount, TAMRON</t>
  </si>
  <si>
    <t>TAMRON-M117VG3817IR</t>
  </si>
  <si>
    <t xml:space="preserve">8MP Lens DC Iris CS-Mount </t>
  </si>
  <si>
    <t>8MP Lens, 1/1.7", varifocal (3.8-17mm), DC Auto Iris, CS-Mount, TAMRON</t>
  </si>
  <si>
    <t>TAMRON-M118VG413IR</t>
  </si>
  <si>
    <t xml:space="preserve">5MP Lens DC Iris C-Mount </t>
  </si>
  <si>
    <t>5MP Lens, 1/1.8", varifocal (4-13mm), DC Auto Iris, C-Mount, TAMRON</t>
  </si>
  <si>
    <t>TAMRON-M13VP288IR130</t>
  </si>
  <si>
    <t xml:space="preserve">3MP Lens P Iris CS-Mount </t>
  </si>
  <si>
    <t>3MP Lens, 1/2.7", varifocal (2.8-8mm), P Iris, CS-Mount, TAMRON</t>
  </si>
  <si>
    <t>TAMRON-M13VP850IR130</t>
  </si>
  <si>
    <t>3MP Lens, 1/2.7", varifocal (8-50mm), P Iris, CS-Mount, TAMRON</t>
  </si>
  <si>
    <t>TAMRON-M118VP413IRCS</t>
  </si>
  <si>
    <t xml:space="preserve">5MP Lens P Iris CS-Mount </t>
  </si>
  <si>
    <t>5MP Lens, 1/1.8", varifocal (4-13mm), P Iris, CS-Mount, TAMRON</t>
  </si>
  <si>
    <t>TAMRON-M118VP1250IR</t>
  </si>
  <si>
    <t>5MP Lens, 1/1.8", varifocal (12-50mm), P Iris, CS-Mount, TAMRON</t>
  </si>
  <si>
    <t>TAMRON-M118VP413IR</t>
  </si>
  <si>
    <t xml:space="preserve">5MP Lens P Iris C-Mount </t>
  </si>
  <si>
    <t>5MP Lens, 1/1.8", varifocal (4-13mm), P Iris, C-Mount, TAMRON</t>
  </si>
  <si>
    <t>TAMRON-M13VM288IR</t>
  </si>
  <si>
    <t xml:space="preserve">3MP Lens Manual Iris CS-Mount </t>
  </si>
  <si>
    <t>3MP Lens, 1/2.7", varifocal (2.8-8mm), Manual Iris, CS-Mount, TAMRON</t>
  </si>
  <si>
    <t>TAMRON-M118VM413IR</t>
  </si>
  <si>
    <t xml:space="preserve">5MP Lens Manual Iris C-Mount </t>
  </si>
  <si>
    <t>5MP Lens, 1/1.8", varifocal (4-13mm), Manual Iris, C-Mount, TAMRON</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</si>
  <si>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</si>
  <si>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</si>
  <si>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</si>
  <si>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</si>
  <si>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</si>
  <si>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</si>
  <si>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</si>
  <si>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</si>
  <si>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</si>
  <si>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</si>
  <si>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</si>
  <si>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</si>
  <si>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</si>
  <si>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</si>
  <si>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</si>
  <si>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</si>
  <si>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</si>
  <si>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</si>
  <si>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</si>
  <si>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</si>
  <si>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</si>
  <si>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</si>
  <si>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</si>
  <si>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</si>
  <si>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</si>
  <si>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</si>
  <si>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</si>
  <si>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</si>
  <si>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</si>
  <si>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</si>
  <si>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</si>
  <si>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</si>
  <si>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</si>
  <si>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</si>
  <si>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</si>
  <si>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</si>
  <si>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</si>
  <si>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</si>
  <si>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</si>
  <si>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</si>
  <si>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</si>
  <si>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</si>
  <si>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</si>
  <si>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</si>
  <si>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</si>
  <si>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</si>
  <si>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EOS Product</t>
  </si>
  <si>
    <t>Replacement Product</t>
  </si>
  <si>
    <t>Category</t>
  </si>
  <si>
    <t>EOS notified month</t>
  </si>
  <si>
    <t>EOS Planned/actual
date</t>
  </si>
  <si>
    <r>
      <rPr>
        <rFont val="Calibri"/>
        <b/>
        <color theme="1"/>
        <sz val="14.0"/>
      </rPr>
      <t>€</t>
    </r>
    <r>
      <rPr>
        <rFont val="Arial"/>
        <b/>
        <color theme="1"/>
        <sz val="9.0"/>
      </rPr>
      <t xml:space="preserve"> </t>
    </r>
    <r>
      <rPr>
        <rFont val="Arial"/>
        <b/>
        <color theme="1"/>
        <sz val="14.0"/>
      </rPr>
      <t>MSRP (EOS)</t>
    </r>
  </si>
  <si>
    <t>AI-APP-FULL4-DASH-EM</t>
  </si>
  <si>
    <t>Embedded Appliance with up to 4 AI-Retail-DASH, AI-Security-DASH AI-Bio-DASH functions</t>
  </si>
  <si>
    <t>No longer available, this offering is under review</t>
  </si>
  <si>
    <t>AI-APP-FULL6-DASH-EM</t>
  </si>
  <si>
    <t>Embedded Appliance with up to 6 AI-Retail-DASH, AI-Security-DASH AI-Bio-DASH functions</t>
  </si>
  <si>
    <t>AI-APP-SEC4-DASH-EM</t>
  </si>
  <si>
    <t>Embedded Appliance with up to 4 AI-Security-DASH functions</t>
  </si>
  <si>
    <t>AI-APP-SEC6-DASH-EM</t>
  </si>
  <si>
    <t>Embedded Appliance with up to 6 AI-Security-DASH functions</t>
  </si>
  <si>
    <t>AITECH-AI-CROWD-DEEP-SRV-1CH</t>
  </si>
  <si>
    <t>A.I. Tech server-based AI-CROWD-DEEP application 
1CH license</t>
  </si>
  <si>
    <t xml:space="preserve">A.I. Tech server-based AI-CROWD-DEEP plug-in application 1 channel license.
</t>
  </si>
  <si>
    <t>No longer available, Edge based analytics coming shortly</t>
  </si>
  <si>
    <t>AITECH-ATM-SRV-1CH</t>
  </si>
  <si>
    <t>A.I. Tech server-based application for Overcrowding and Loitering Detection near an ATM
1CH license</t>
  </si>
  <si>
    <t>A.I. Tech server-based application for Overcrowding and Loitering Detection near an ATM, 1 channel license. Suitable for video streams from models: XNV-6080RS, XNV-6080R, XNV-6080, XNV-6022R, XNV-6022RM, XNV-6020R, XNV-6013M, XNV-6012, XNV-6012M, XNV-6011, XNV-6010, XND-8080RV, XND-8080R, XND-8040R, XND-8030R, XND-8020R, XND-8020F, XND-6080V, XND-6080RV, XND-6080R, XND-6080, XND-6020R, XND-6011F, XND-6010, XNV-L6080R, XNV-L6080, XND-L6080V, XND-L6080RV, XND-L6080R</t>
  </si>
  <si>
    <t>No longer available, refer to AITECH-ATM-APP-1CH</t>
  </si>
  <si>
    <t>AITECH-BIO-APP-1CH</t>
  </si>
  <si>
    <t>A.I. Tech Biometric Analysis Edge App
1CH licence</t>
  </si>
  <si>
    <t>A.I. Tech Biometric Analysis App license. Can be added to XNB-6001P with 4.6mm lens, TNB-6030P</t>
  </si>
  <si>
    <t>Currently suspended due to Ethnicity recognition analytics, requested AI Tech to remove this feature before we can re-instate it.</t>
  </si>
  <si>
    <t>AITECH-BIO-SRV-1CH</t>
  </si>
  <si>
    <t>A.I. Tech server-based Biometric Analysis application 
1CH licence</t>
  </si>
  <si>
    <t>A.I. Tech server-based Biometric Analysis application 1 channel licence. Suitable for video streams from models: XNB-6001P with 4.6mm lens, TNB-6030P</t>
  </si>
  <si>
    <t>No longer available</t>
  </si>
  <si>
    <t>AITECH-CROWD-APP-1CH</t>
  </si>
  <si>
    <t>A.I. Tech Crowd Estimation Edge App
1CH licence</t>
  </si>
  <si>
    <t>AITECH-CROWD-SRV-1CH</t>
  </si>
  <si>
    <t>A.I. Tech server-based Crowd Estimation application 
1CH license</t>
  </si>
  <si>
    <t>A.I. Tech server-based Crowd Estimation application 1 channel license. Suitable for video streams from models: XNV-6080RS, XNV-6080R, XNV-6080, XNV-6022R, XNV-6022RM, XNV-6020R, XNV-6013M, XNV-6012, XNV-6012M, XNV-6011, XNV-6010, XND-8080RV, XND-8080R, XND-8040R, XND-8030R, XND-8020R, XND-8020F, XND-6080V, XND-6080RV, XND-6080R, XND-6080, XND-6020R, XND-6011F, XND-6010, XNV-L6080R, XNV-L6080, XND-L6080V, XND-L6080RV, XND-L6080R</t>
  </si>
  <si>
    <t>No longer available, refer to AITECH-CROWD-APP-1CH</t>
  </si>
  <si>
    <t>AITECH-DASH-EMB-1CH</t>
  </si>
  <si>
    <t>A.I. Tech 1CH license for Embedded Dashboard add-on</t>
  </si>
  <si>
    <t>A.I. Tech 1 channel license for Embedded Dashboard add-on installed on-board an X-Series camera (requires SD card)</t>
  </si>
  <si>
    <t>Now standard feature of edge based apps</t>
  </si>
  <si>
    <t>AITECH-FACEDETECT-APP-1CH</t>
  </si>
  <si>
    <t>A.I. Tech Face Detection Edge App
1CH licence</t>
  </si>
  <si>
    <t>A.I. Tech Face Detection App license. Can be added to XNB-6001P with 4.6mm lens, TNB-6030P</t>
  </si>
  <si>
    <t>A2-NOMASK-APP-xxCH</t>
  </si>
  <si>
    <t>Replacement will be announced later</t>
  </si>
  <si>
    <t>AITECH-FACEDETECT-SRV-1CH</t>
  </si>
  <si>
    <t>A.I. Tech Face Detection Edge AppAITECH-FACEDETECT-SRV-1CH</t>
  </si>
  <si>
    <t>A.I. Tech server-based Face Detection application 1 channel license. Suitable for video streams from models: XNB-6001P with 4.6mm lens, TNB-6030P</t>
  </si>
  <si>
    <t>AITECH-HEAT-APP-1CH</t>
  </si>
  <si>
    <t>A.I. Tech Heatmap Edge App
 1CH licence</t>
  </si>
  <si>
    <t>AITECH-HEAT-SRV-1CH</t>
  </si>
  <si>
    <t>A.I. Tech server-based Heatmap application 
1CH license</t>
  </si>
  <si>
    <t>A.I. Tech server-based Heatmap application 1 channel license. Suitable for video streams from models: XNF-8010RV, XNF-8010RVM, XNF-8010R, XNV-6080RS, XNV-6080R, XNV-6080, XNV-6022R, XNV-6022RM, XNV-6020R, XNV-6013M, XNV-6012, XNV-6012M, XNV-6011, XNV-6010, XND-8080RV, XND-8080R, XND-8040R, XND-8030R, XND-8020R, XND-8020F, XND-6080V, XND-6080RV, XND-6080R, XND-6080, XND-6020R, XND-6011F, XND-6010, XNV-L6080R, XNV-L6080, XND-L6080V, XND-L6080RV, XND-L6080R</t>
  </si>
  <si>
    <t>No longer available, refer to AITECH-HEAT-APP-1CH</t>
  </si>
  <si>
    <t>AITECH-INTRUSION-SRV-1CH</t>
  </si>
  <si>
    <t>A.I. Tech server-based Tripwire &amp; Intrusion Detection application 
1CH license</t>
  </si>
  <si>
    <t>A.I. Tech server-based Tripwire &amp; Intrusion Detection application 1 channel license. Suitable for video streams from models: XNO-6085R, XNO-8080R, XNO-8040R, XNO-8030R, XNO-8020R, XNO-6120R, XNO-6080R, XNO-6020R, XNO-6010R, XNO-L6080R, XNB-6005, XNB-8000, XNB-6000, TNO-4051T, TNO-4050T, TNO-4041T, TNO-4040T, TNO-4030T</t>
  </si>
  <si>
    <t>No longer available, refer to AITECH-INTRUSION-APP-1CH</t>
  </si>
  <si>
    <t>AITECH-LOITERING-APP-1CH</t>
  </si>
  <si>
    <t>A.I. Tech Loitering Behaviour Detection Edge App
1CH licence</t>
  </si>
  <si>
    <t>A.I. Tech Loitering Behavior Detection App license. Can be added to XNO-6085R, XNO-8080R, XNO-8040R, XNO-8030R, XNO-8020R, XNO-6120R, XNO-6080R, XNO-6020R, XNO-6010R, XNO-L6080R, XNB-6005, XNB-8000, XNB-6000, TNO-4051T, TNO-4050T, TNO-4041T, TNO-4040T, TNO-4030T</t>
  </si>
  <si>
    <t>Now part of AITECH-INTRUSION-APP-1CH</t>
  </si>
  <si>
    <t>AITECH-LOITERING-SRV-1CH</t>
  </si>
  <si>
    <t>A.I. Tech server-based Loitering Behaviour Detection application 
1CH license</t>
  </si>
  <si>
    <t>A.I. Tech server-based Loitering Behavior Detection application 1 channel license. Suitable for video streams from models: XNO-6085R, XNO-8080R, XNO-8040R, XNO-8030R, XNO-8020R, XNO-6120R, XNO-6080R, XNO-6020R, XNO-6010R, XNO-L6080R, XNB-6005, XNB-8000, XNB-6000, TNO-4051T, TNO-4050T, TNO-4041T, TNO-4040T, TNO-4030T</t>
  </si>
  <si>
    <t>Now part of AITECH-INTRUSION-SRV-1CH</t>
  </si>
  <si>
    <t>AITECH-LOST-SRV-1CH</t>
  </si>
  <si>
    <t>A.I. Tech server-based Abandoned/Removed Object Detection application 
1CH license</t>
  </si>
  <si>
    <t>A.I. Tech server-based Abandoned/Removed Object Detection application 1 channel license. Suitable for video streams from models: XNO-6085R, XNO-8080R, XNO-8040R, XNO-8030R, XNO-8020R, XNO-6120R, XNO-6080R, XNO-6020R, XNO-6010R, XNO-L6080R, XNB-6005, XNB-8000, XNB-6000, TNO-4051T, TNO-4050T, TNO-4041T, TNO-4040T, TNO-4030T</t>
  </si>
  <si>
    <t>No longer available, refer to AITECH-LOST-APP-1CH</t>
  </si>
  <si>
    <t>AITECH-OCCUPANCY-APP-1CH</t>
  </si>
  <si>
    <t>A.I. Tech Occupancy Evaluation Edge App
1CH licence</t>
  </si>
  <si>
    <t>AITECH-OCCUPANCY-SRV-1CH</t>
  </si>
  <si>
    <t>A.I. Tech server-based Occupancy Evaluation application 
1CH license</t>
  </si>
  <si>
    <t>A.I. Tech server-based Occupancy Evaluation application 1 channel license. Suitable for video streams from models: XNF-8010RV, XNF-8010RVM, XNF-8010R, XNV-6080RS, XNV-6080R, XNV-6080, XNV-6022R, XNV-6022RM, XNV-6020R, XNV-6013M, XNV-6012, XNV-6012M, XNV-6011, XNV-6010, XND-8080RV, XND-8080R, XND-8040R, XND-8030R, XND-8020R, XND-8020F, XND-6080V, XND-6080RV, XND-6080R, XND-6080, XND-6020R, XND-6011F, XND-6010, XNV-L6080R, XNV-L6080, XND-L6080V, XND-L6080RV, XND-L6080R</t>
  </si>
  <si>
    <t>No longer available, refer to AITECH-OCCUPANCY-APP-1CH</t>
  </si>
  <si>
    <t>AITECH-OVERCROWD-APP-1CH</t>
  </si>
  <si>
    <t>A.I. Tech Over Crowd Estimation Edge App
1CH licence</t>
  </si>
  <si>
    <t>A.I. Tech Overcrowd Estimation App licence. Can be added to XNV-6080RS, XNV-6080R, XNV-6080, XNV-6022R, XNV-6022RM, XNV-6020R, XNV-6013M, XNV-6012, XNV-6012M, XNV-6011, XNV-6010, XND-8080RV, XND-8080R, XND-8040R, XND-8030R, XND-8020R, XND-8020F, XND-6080V, XND-6080RV, XND-6080R, XND-6080, XND-6020R, XND-6011F, XND-6010, XNV-L6080R, XNV-L6080, XND-L6080V, XND-L6080RV, XND-L6080R</t>
  </si>
  <si>
    <t>Now part of AITECH-CROWD-APP-1CH</t>
  </si>
  <si>
    <t>AITECH-OVERCROWD-SRV-1CH</t>
  </si>
  <si>
    <t>A.I. Tech server-based Overcrowd Estimation application 
1CH license</t>
  </si>
  <si>
    <t>A.I. Tech server-based Overcrowd Estimation application 1 channel license. Suitable for video streams from models: XNV-6080RS, XNV-6080R, XNV-6080, XNV-6022R, XNV-6022RM, XNV-6020R, XNV-6013M, XNV-6012, XNV-6012M, XNV-6011, XNV-6010, XND-8080RV, XND-8080R, XND-8040R, XND-8030R, XND-8020R, XND-8020F, XND-6080V, XND-6080RV, XND-6080R, XND-6080, XND-6020R, XND-6011F, XND-6010, XNV-L6080R, XNV-L6080, XND-L6080V, XND-L6080RV, XND-L6080R</t>
  </si>
  <si>
    <t>Now part of AITECH-CROWD-SRV-1CH</t>
  </si>
  <si>
    <t>AITECH-OVEROCCUPANCY-APP-1CH</t>
  </si>
  <si>
    <t>A.I. Tech Overoccupancy Evaluation Edge App
1CH licence</t>
  </si>
  <si>
    <t>A.I. Tech Overoccupancy Evaluation App licence. Can be added to XNF-8010RV, XNF-8010RVM, XNF-8010R, XNV-6080RS, XNV-6080R, XNV-6080, XNV-6022R, XNV-6022RM, XNV-6020R, XNV-6013M, XNV-6012, XNV-6012M, XNV-6011, XNV-6010, XND-8080RV, XND-8080R, XND-8040R, XND-8030R, XND-8020R, XND-8020F, XND-6080V, XND-6080RV, XND-6080R, XND-6080, XND-6020R, XND-6011F, XND-6010, XNV-L6080R, XNV-L6080, XND-L6080V, XND-L6080RV, XND-L6080R</t>
  </si>
  <si>
    <t>Now part of AITECH-OCCUPANCY-APP-1CH</t>
  </si>
  <si>
    <t>AITECH-OVEROCCUPANCY-SRV-1CH</t>
  </si>
  <si>
    <t>A.I. Tech server-based Overoccupancy Evaluation application 
1CH license</t>
  </si>
  <si>
    <t>A.I. Tech server-based Overoccupancy Evaluation application 1 channel license. Suitable for video streams from models: XNF-8010RV, XNF-8010RVM, XNF-8010R, XNV-6080RS, XNV-6080R, XNV-6080, XNV-6022R, XNV-6022RM, XNV-6020R, XNV-6013M, XNV-6012, XNV-6012M, XNV-6011, XNV-6010, XND-8080RV, XND-8080R, XND-8040R, XND-8030R, XND-8020R, XND-8020F, XND-6080V, XND-6080RV, XND-6080R, XND-6080, XND-6020R, XND-6011F, XND-6010, XNV-L6080R, XNV-L6080, XND-L6080V, XND-L6080RV, XND-L6080R</t>
  </si>
  <si>
    <t>Now part of AITECH-OCCUPANCY-SRV-1CH</t>
  </si>
  <si>
    <t>AITECH-PANIC-SRV-1CH</t>
  </si>
  <si>
    <t>A.I. Tech server-based Instantaneous Speed Change Detection application 
1CH license</t>
  </si>
  <si>
    <t>A.I. Tech server-based Instantaneous Speed Change Detection application 1 channel license. Suitable for video streams from models: XNO-6085R, XNO-8080R, XNO-8040R, XNO-8030R, XNO-8020R, XNO-6120R, XNO-6080R, XNO-6020R, XNO-6010R, XNO-L6080R, XNB-6005, XNB-8000, XNB-6000</t>
  </si>
  <si>
    <t>AITECH-PARKING-DASH-APP-1CH</t>
  </si>
  <si>
    <t>A.I. Tech App 1CH license for Parking Spaces Occupancy Estimation with Embedded Dashboard</t>
  </si>
  <si>
    <t>A.I. Tech App license for Parking Spaces Occupancy Estimation with Embedded Dashboard. Can be added to XNO-6085R, XNO-8080R, XNO-8040R, XNO-8030R, XNO-8020R, XNO-6120R, XNO-6080R, XNO-6020R, XNO-6010R, XNO-L6080R, XNB-6005, XNB-8000, XNB-6000, TNO-4051T, TNO-4050T, TNO-4041T, TNO-4040T, TNO-4030T (requires SD card)</t>
  </si>
  <si>
    <t>No comments yet</t>
  </si>
  <si>
    <t>AITECH-PARKING-SRV-1CH</t>
  </si>
  <si>
    <t>A.I. Tech server-based application for Parking Spaces Occupancy Estimation
1CH license</t>
  </si>
  <si>
    <t>A.I. Tech server-based application for Parking Spaces Occupancy Estimation, 1 channel license. Suitable for video streams from models: XNO-6085R, XNO-8080R, XNO-8040R, XNO-8030R, XNO-8020R, XNO-6120R, XNO-6080R, XNO-6020R, XNO-6010R, XNO-L6080R, XNB-6005, XNB-8000, XNB-6000, TNO-4051T, TNO-4050T, TNO-4041T, TNO-4040T, TNO-4030T</t>
  </si>
  <si>
    <t>No longer available, refer to AITECH-PARKING-APP-1CH</t>
  </si>
  <si>
    <t>AITECH-PEOPLE-APP-1CH</t>
  </si>
  <si>
    <t>A.I. Tech People Count Edge App
 1CH licence</t>
  </si>
  <si>
    <t>AITECH-PEOPLE-SRV-1CH</t>
  </si>
  <si>
    <t>A.I. Tech server-based People Count application 
1CH license</t>
  </si>
  <si>
    <t>A.I. Tech server-based People Count application 1 channel license. Suitable for video streams from models: XNV-6080RS, XNV-6080R, XNV-6080, XNV-6022R, XNV-6022RM, XNV-6020R, XNV-6013M, XNV-6012, XNV-6012M, XNV-6011, XNV-6010, XND-8080RV, XND-8080R, XND-8040R, XND-8030R, XND-8020R, XND-8020F, XND-6080V, XND-6080RV, XND-6080R, XND-6080, XND-6020R, XND-6011F, XND-6010, XNV-L6080R, XNV-L6080, XND-L6080V, XND-L6080RV, XND-L6080R</t>
  </si>
  <si>
    <t>No longer available, refer to AITECH-PEOPLE-APP-1CH</t>
  </si>
  <si>
    <t>AITECH-SECURITY-3-DASH-APP-1CH</t>
  </si>
  <si>
    <t>A.I. Tech App containing AI-INTRUSION, AI-LOST, AI-LOITERING 1CH licence with Embedded Dashboard</t>
  </si>
  <si>
    <t>A.I. Tech App containing AI-INTRUSION, AI-LOST, AI-LOITERING 1 Channel licence with Embedded Dashboard. Can be added to XNO-6085R, XNO-8080R, XNO-8040R, XNO-8030R, XNO-8020R, XNO-6120R, XNO-6080R, XNO-6020R, XNO-6010R, XNO-L6080R, XNB-6005, XNB-8000, XNB-6000, TNO-4051T, TNO-4050T, TNO-4041T, TNO-4040T, TNO-4030T  (requires SD card)</t>
  </si>
  <si>
    <t>AITECH-SMOKE-APP-1CH</t>
  </si>
  <si>
    <t>A.I. Tech Edge App 1CH licence for Smoke detection</t>
  </si>
  <si>
    <t>A.I. Tech App license for Smoke Detection. Can be added to XNO-6085R, XNO-8080R, XNO-8040R, XNO-8030R, XNO-8020R, XNO-6120R, XNO-6080R, XNO-6020R, XNO-6010R, XNO-L6080R, XNB-6005, XNB-8000, XNB-6000P (waiver has to be signed)</t>
  </si>
  <si>
    <t>AITECH-SPILL-SRV-1CH</t>
  </si>
  <si>
    <t>A.I. Tech server-based Person Slip &amp; Fall Detection application 
1CH license</t>
  </si>
  <si>
    <t>A.I. Tech server-based Person Slip &amp; Fall Detection application 1 channel license. Suitable for video streams from models: XNV-6080RS, XNV-6080R, XNV-6080, XNV-6022R, XNV-6022RM, XNV-6020R, XNV-6013M, XNV-6012, XNV-6012M, XNV-6011, XNV-6010, XND-8080RV, XND-8080R, XND-8040R, XND-8030R, XND-8020R, XND-8020F, XND-6080V, XND-6080RV, XND-6080R, XND-6080, XND-6020R, XND-6011F, XND-6010, XNV-L6080R, XNV-L6080, XND-L6080V, XND-L6080RV, XND-L6080R, XNO-6085R, XNO-8080R, XNO-8040R, XNO-8030R, XNO-8020R, XNO-6120R, XNO-6080R, XNO-6020R, XNO-6010R, XNO-L6080R, XNB-6005, XNB-8000, XNB-6000, TNO-4051T, TNO-4050T, TNO-4041T, TNO-4040T, TNO-4030T</t>
  </si>
  <si>
    <t>Viedo Wall Decoder</t>
  </si>
  <si>
    <t>BB-VW-1UHD</t>
  </si>
  <si>
    <t>BlueBox VESA Video Wall Mini Decoder with 1x Ultra HD output</t>
  </si>
  <si>
    <t>VESA Video Wall Decoder mini appliance capable of up to 1x Ultra HD output, (max. 1x 3840x2160p at 60 Hz over HDMI), 1x 1GbE LAN, USB connectivity, External 60W PSU, Includes VESA Adapter and PSU, 3 Year Warranty</t>
  </si>
  <si>
    <t>No Replacement</t>
  </si>
  <si>
    <t>BB-VW-1UHD-1YR-WRTYEXT</t>
  </si>
  <si>
    <t>1 Year Warranty Extension for BB-VW-1UHD</t>
  </si>
  <si>
    <t>1 Year Warranty Extension for ESA Video Wall Decoder mini appliance capable of up to 1x Ultra HD output, (BB-VW-1UHD), Must be purchased together with the appliance, Maximum 2 Year Extension</t>
  </si>
  <si>
    <t>BB-VW-6UHD</t>
  </si>
  <si>
    <t>BlueBox 2U Video Wall Decoder with 6x Ultra HD outputs</t>
  </si>
  <si>
    <t>2U Video Wall Decoder appliance with 6x Ultra HD outputs, Intel Core Xeon E3-1578L, 2x 4GB DDR4 RAM, 2x 1GbE LAN, Intel Iris Pro 580 (6x 3840x2160p 32 bpp at 60 Hz over DisplayPort 1.2), 250W Flex ATX PSU, 3 Year Warranty</t>
  </si>
  <si>
    <t>BB-VW-6UHD-1YR-WRTYEXT</t>
  </si>
  <si>
    <t>1 Year Warranty Extension for BB-VW-6UHD</t>
  </si>
  <si>
    <t>1 Year Warranty Extension for 2U Video Wall Decoder appliance capable of up to 6x Ultra HD DisplayPort outputs (BB-VW-6UHD), Must be purchased together with the appliance, Maximum 2 Year Extension</t>
  </si>
  <si>
    <t>BB-VW-8FHD</t>
  </si>
  <si>
    <t>2U Video Wall Decoder appliance with 8x Full HD outputs, Intel Core i7 7700T, 2x 4GB DDR4 RAM,  2x 1GbE LAN, Intel Iris 630 (8x 1920x1080p 32 bpp at 60 Hz over DisplayPort 1.2), 250W Flex ATX PSU, 3 Year Warranty</t>
  </si>
  <si>
    <t>BB-VW-8FHD-1YR-WRTYEXT</t>
  </si>
  <si>
    <t>1 Year Warranty Extension for 2U Video Wall Decoder appliance capable of up to 8x Ultra HD DisplayPort outputs (BB-VW-8FHD), Must be purchased together with the appliance, Maximum 2 Year Extension</t>
  </si>
  <si>
    <t>BB-VW-9FHD</t>
  </si>
  <si>
    <t>BlueBox 2U Video Wall Decoder with 9x Full HD outputs</t>
  </si>
  <si>
    <t>2U Video Wall Decoder appliance with 9x Full HD outputs, Intel Core Xeon E3-1578L, 2x 4GB DDR4 RAM, 2x 1GbE LAN, Intel Iris 630 (9x 1920x1080p 32 bpp at 60 Hz over DisplayPort 1.2), 250W Flex ATX PSU, 3 Year Warranty</t>
  </si>
  <si>
    <t>BB-VW-PROFSERV</t>
  </si>
  <si>
    <t>Professional Services</t>
  </si>
  <si>
    <t>Professional services day rate for onsite setup/commission/training/support of Bluebox Video Wall Solutions, includes travel and accommodation expenses</t>
  </si>
  <si>
    <t>Storage - Network</t>
  </si>
  <si>
    <t>CSTORE-15-3U-DU</t>
  </si>
  <si>
    <t>Veracity Coldstore 3U</t>
  </si>
  <si>
    <t>Veracity Coldstore NAS Server, 15 internal SATA HDD Bays, Dual Gigabit Ethernet, 400mbps, L.A.I.D with SFS disk filing system, requires WAVE Server (not included) to operate</t>
  </si>
  <si>
    <t>CSTORE-15-3U-DU-30TB</t>
  </si>
  <si>
    <t>Veracity Coldstore 3U, 30TB </t>
  </si>
  <si>
    <t>Veracity Coldstore NAS Server, 15 internal SATA HDD Bays, Dual Gigabit Ethernet, 400mbps, L.A.I.D with SFS disk filing system, requires WAVE Server (not included) to operate, 30TB raw</t>
  </si>
  <si>
    <t>CSTORE-15-3U-DU-45TB</t>
  </si>
  <si>
    <t>Veracity Coldstore 3U, 45TB </t>
  </si>
  <si>
    <t>Veracity Coldstore NAS Server, 15 internal SATA HDD Bays, Dual Gigabit Ethernet, 400mbps, L.A.I.D with SFS disk filing system, requires WAVE Server (not included) to operate, 45TB raw</t>
  </si>
  <si>
    <t>CSTORE-15-3U-DU-60TB</t>
  </si>
  <si>
    <t>Veracity Coldstore 3U, 60TB </t>
  </si>
  <si>
    <t>Veracity Coldstore NAS Server, 15 internal SATA HDD Bays, Dual Gigabit Ethernet, 400mbps, L.A.I.D with SFS disk filing system, requires WAVE Server (not included) to operate, 60TB raw</t>
  </si>
  <si>
    <t>CSTORE-15-3U-DU-90TB</t>
  </si>
  <si>
    <t>Veracity Coldstore 3U, 90TB </t>
  </si>
  <si>
    <t>Veracity Coldstore NAS Server, 15 internal SATA HDD Bays, Dual Gigabit Ethernet, 400mbps, L.A.I.D with SFS disk filing system, requires WAVE Server (not included) to operate, 90TB raw</t>
  </si>
  <si>
    <t>CSTORE8-C</t>
  </si>
  <si>
    <t>Veracity Coldstore Compact, 8 Bay</t>
  </si>
  <si>
    <t>Veracity Coldstore Compact,8x2.5" HDD Bays, Gigabit Ethernet, 400Mbit,Sec</t>
  </si>
  <si>
    <t>CSTORE8-C-16TB</t>
  </si>
  <si>
    <t>Veracity Coldstore Compact, 8 Bay 16TB</t>
  </si>
  <si>
    <t>Veracity Coldstore Compact,8x2.5" HDD Bays, Gigabit Ethernet, 400Mbit,Sec, 16TB</t>
  </si>
  <si>
    <t>DV2.2X4.1SR4A-SA2L</t>
  </si>
  <si>
    <t>1.2" V/F 6MP lens</t>
  </si>
  <si>
    <t>Fujifilm DV2.2X4.1SR4A-SA2L 1.2"V-Focal 6MP D/N</t>
  </si>
  <si>
    <t>FFGROUP-SERVERLESS-ANPR-APP-1CH</t>
  </si>
  <si>
    <t>FF Group Serverless Number Plate Recognition App 1CH</t>
  </si>
  <si>
    <t>FF Group Serverless ANPR analytics App licence can connect up to 4 cameras without server. Can be added to X-Series Bullet, Box and Dome/Vandal cameras. Suitable for video streams from models: XNO-L6080R, XND-L6080R, XNV-6080R, XNO-6080R, XNO-6120R, XND-6080R, XND-6080RV, XNV-6080R, XNV-6120R, XNV-6080RS, XNV-6120RS, XNO-6085R (requires SD card)</t>
  </si>
  <si>
    <t>No longer available, please consider NumberOK or Road AI products</t>
  </si>
  <si>
    <t>HCB-7000</t>
  </si>
  <si>
    <t>4MP Wisenet HD+ Box</t>
  </si>
  <si>
    <t>Wisenet HD+</t>
  </si>
  <si>
    <t>Wisenet HD+ analogue box camera, 4MP, AHD, Manual focus, AHD/CVBS/RS-485, BLC/HLC/DWDR, True Day &amp; Night (ICR),  Motion detection, Transmission disctance upto 500m, 24VAC/12VDC</t>
  </si>
  <si>
    <t>HCB-7000PH</t>
  </si>
  <si>
    <t>Wisenet HD+ analogue box camera, 4MP, AHD, Manual focus, AHD/CVBS/RS-485, BLC/HLC/DWDR, True Day &amp; Night (ICR),  Motion detection, Transmission disctance upto 500m, 230VAC</t>
  </si>
  <si>
    <t>HCD-7010R</t>
  </si>
  <si>
    <t>4MP Wisenet HD+ Indoor Dome</t>
  </si>
  <si>
    <t>Wisenet HD+ 4MP IR indoor dome camera, AHD or CVBS formats are available, 2.8 mm fixed lens, Day &amp; Night (ICR), 12VDC, IR distance 20m</t>
  </si>
  <si>
    <t>HCD-7020R</t>
  </si>
  <si>
    <t>Wisenet HD+ 4MP IR indoor dome camera, AHD or CVBS formats are available, 4.0 mm fixed lens, Day &amp; Night (ICR), 12VDC, IR distance 25m</t>
  </si>
  <si>
    <t>HCD-7030R</t>
  </si>
  <si>
    <t>Wisenet HD+ 4MP IR indoor dome camera, AHD or CVBS formats are available, 6.0 mm fixed lens, Day &amp; Night (ICR), 12VDC, IR distance 30m</t>
  </si>
  <si>
    <t>HCD-7070R</t>
  </si>
  <si>
    <t>Wisenet HD+ 4MP IR indoor dome camera, AHD or CVBS formats are available, manual vari-focal Lens (3.1X) (3.2-10mm), Day &amp; Night (ICR), 24VAC/12VDC, IR distance 20m</t>
  </si>
  <si>
    <t>HCM-9020VQ</t>
  </si>
  <si>
    <t>2MPX4 AHD Multi-sensor</t>
  </si>
  <si>
    <t>Wisenet HD+ Multi-Sensor camera, 4 X 2MP @ 30 fps on each sensor, true WDR (100dB), 2 Lenses @ 4mm (80°) and 2 lenses @ 6mm (52°), HLC, Flexibility on lens positioning by using magnetic mounting, can transmit for up to 500m of coax cable (Need 4 coaxial cables and 4 ports on the DVR),12VDC/24VAC, IP66, IK10</t>
  </si>
  <si>
    <t>HCO-7010R</t>
  </si>
  <si>
    <t>4MP Wisenet HD+ Bullet</t>
  </si>
  <si>
    <t>Wisenet HD+ 4MP IR bullet camera, AHD or CVBS formats are available, 2.8 mm fixed lens, Day &amp; Night (ICR), 12VDC, IR distance 20m, IP66/IK10</t>
  </si>
  <si>
    <t>HCO-7020R</t>
  </si>
  <si>
    <t>Wisenet HD+ 4MP IR bullet camera, AHD or CVBS formats are available, 4.0 mm fixed lens, Day &amp; Night (ICR), 12VDC, IR distance 25m, IP66/IK10</t>
  </si>
  <si>
    <t>HCO-7030R</t>
  </si>
  <si>
    <t>Wisenet HD+ 4MP IR bullet camera, AHD or CVBS formats are available, 6.0 mm fixed lens, Day &amp; Night (ICR), 12VDC, IR distance 30m, IP66/IK10</t>
  </si>
  <si>
    <t>HCO-7070R</t>
  </si>
  <si>
    <t>Wisenet HD+ 4MP IR bullet camera, AHD or CVBS formats are available, manual vari-focal Lens (3.1X) (3.2-10mm), Day &amp; Night (ICR), 24VAC/12VDC, IR distance 30m, IP66/IK10</t>
  </si>
  <si>
    <t>HCP-6230</t>
  </si>
  <si>
    <t>AHD PTZ</t>
  </si>
  <si>
    <t>Wisenet HD+ Analog PTZ dome camera, 2MP @30fps , Optical zoom lens 23X (4.44~101.2mm), WDR 120dB, RS485/Up coax (ACP protocol only) PTZ control, Day &amp; Night (ICR), 24VAC</t>
  </si>
  <si>
    <t>HCP-6320A</t>
  </si>
  <si>
    <t>HD+ series 2MP, Full HD(1080p) 30fps PTZ camera, Optical zoom lens 32X (4.44~142.6mm), true WDR 120dB, RS485/Up coax (ACP protocol only) PTZ control, Day &amp; Night (ICR), 24VAC</t>
  </si>
  <si>
    <t>HCP-6230H</t>
  </si>
  <si>
    <t>AHD Outdoor PTZ</t>
  </si>
  <si>
    <t>Wisenet HD+ Analog PTZ outdoor dome camera, 2MP @30fps , Optical zoom lens 23X (4.44~101.2mm), WDR 120dB, RS485/Up coax (ACP protocol only) PTZ control, Day &amp; Night (ICR), IP66/IK10, 24VAC</t>
  </si>
  <si>
    <t>Announces EOS in Jan 2022</t>
  </si>
  <si>
    <t>HCV-7010R</t>
  </si>
  <si>
    <t>4MP Wisenet HD+ Outdoor Dome</t>
  </si>
  <si>
    <t>Wisenet HD+ 4MP IR outdoor dome camera, AHD or CVBS formats are available, 2.8 mm fixed lens, Day &amp; Night (ICR), 12VDC, IR distance 20m, IP66/IK10</t>
  </si>
  <si>
    <t>HCV-7020R</t>
  </si>
  <si>
    <t>Wisenet HD+ 4MP IR outdoor dome camera, AHD or CVBS formats are available, 4.0 mm fixed lens, Day &amp; Night (ICR), 12VDC, IR distance 25m, IP66/IK10</t>
  </si>
  <si>
    <t>HCV-7030R</t>
  </si>
  <si>
    <t>Wisenet HD+ 4MP IR outdoor dome camera, AHD or CVBS formats are available, 6.0 mm fixed lens, Day &amp; Night (ICR), 12VDC, IR distance 30m, IP66/IK10</t>
  </si>
  <si>
    <t>HCV-7070R</t>
  </si>
  <si>
    <t>Wisenet HD+ 4MP IR outdoor dome camera, AHD or CVBS formats are available, manual vari-focal Lens (3.1X) (3.2-10mm), Day &amp; Night (ICR), 24VAC/12VDC, IR distance 30m, IP66/IK10</t>
  </si>
  <si>
    <t>HCZ-6320</t>
  </si>
  <si>
    <t>2MP Wisenet HD+ Zoom Box</t>
  </si>
  <si>
    <t>Wisenet HD+ 2M zoom box, AHD or CVBS formats are available, true WDR (120dB), 32X optical zoom, RS485 /Coaxial Control, Day &amp; Night (ICR), 24VAC/12VDC</t>
  </si>
  <si>
    <t>HCZ-6321</t>
  </si>
  <si>
    <t>Wisenet HD+ zoom box, 2MP @30fps, 4.44 ~ 142.6mm optical zoom lens (32x) (62.8º ~ 2.23º), AHD or CVBS formats are available, 120dB WDR, Day &amp; Night (ICR), RS485 /Coaxial Control, Motion Detection, Tracking, Fixed Moved, Tampering, Digital Image Stabilization, HLC, 12V DC</t>
  </si>
  <si>
    <t>Server - Storage</t>
  </si>
  <si>
    <t>HDD10TBSG</t>
  </si>
  <si>
    <t>Seagate SkyHawk AI 10TB 3.5" Surveillance HDD drive for use in NVR/DVR, SATA 6Gb/s, supports additional 32 AI streams, 1.5 M hours MTBF, Workload rate limit 550 TB/year,  SkyHawk Health Management, 3-year limited warranty (ST10000VE0008). Must be purchased in boxes of 20 units.</t>
  </si>
  <si>
    <t>HDD10TBSGv2</t>
  </si>
  <si>
    <t>HDD10TBSG-E-EMB</t>
  </si>
  <si>
    <t>Seagate EXOS 10TB 3.5" Enterprise HDD drive for use in Hammer Servers only, SATA 6Gb/s, 2.5 M hours MTBF, Workload rate limit 550 TB/year, 5-year limited warranty (ST10000NM001G). This product will be embedded in the server</t>
  </si>
  <si>
    <t>HDD10TBSG-KIT</t>
  </si>
  <si>
    <t>Seagate SkyHawk AI HDD 10TB (ST10000VE0008) &gt; ST10000VE001</t>
  </si>
  <si>
    <t>Seagate SkyHawk AI 10TB 3.5" Surveillance HDD drive for use in NVR/DVR, SATA 6Gb/s, supports additional 32 AI streams, 1.5 M hours MTBF, Workload rate limit 550 TB/year,  SkyHawk Health Management, 3-year limited warranty (ST10000VE0008)</t>
  </si>
  <si>
    <t>HDD10TBSGv2-KIT</t>
  </si>
  <si>
    <t>HDD12TBSG-E</t>
  </si>
  <si>
    <t>Seagate EXOS Enterprise HDD 12TB (ST12000NM001G)
Box of 20 units</t>
  </si>
  <si>
    <t>Seagate EXOS 12TB 3.5" Enterprise HDD drive for use in Storage Servers and NVR that requires RAID storage, SATA 6Gb/s, 2.5 M hours MTBF, Workload rate limit 550 TB/year, 5-year limited warranty (ST12000NM001G). Must be purchased in boxes of 20 units.</t>
  </si>
  <si>
    <t>ST12000NM001G-HW</t>
  </si>
  <si>
    <t>Remove, not in compatability list</t>
  </si>
  <si>
    <t>HDD12TBSG-E-EMB</t>
  </si>
  <si>
    <t>Seagate EXOS 12TB 3.5" Enterprise HDD drive for use in Hammer Servers only, SATA 6Gb/s, 2.5 M hours MTBF, Workload rate limit 550 TB/year, 5-year limited warranty (ST12000NM001G). This product will be embedded in the server</t>
  </si>
  <si>
    <t>HDD12TBSG-E-KIT</t>
  </si>
  <si>
    <t>Seagate EXOS Enterprise HDD 12TB (ST12000NM001G)</t>
  </si>
  <si>
    <t>Seagate EXOS 12TB 3.5" Enterprise HDD drive for use in Storage Servers and NVR that requires RAID storage, SATA 6Gb/s, 2.5 M hours MTBF, Workload rate limit 550 TB/year, 5-year limited warranty (ST12000NM001G)</t>
  </si>
  <si>
    <t>Removed, not in compatability list</t>
  </si>
  <si>
    <t>HDD14TBSG-E</t>
  </si>
  <si>
    <t>Seagate EXOS Enterprise HDD 14TB (ST14000NM001G)
Box of 20 units</t>
  </si>
  <si>
    <t>Seagate EXOS 14TB 3.5" Enterprise HDD drive for use in Storage Servers and NVR that requires RAID storage, SATA 6Gb/s, 2.5 M hours MTBF, Workload rate limit 550 TB/year, 5-year limited warranty (ST14000NM001G). Must be purchased in boxes of 20 units.</t>
  </si>
  <si>
    <t>ST14000NM001G-HW</t>
  </si>
  <si>
    <t>HDD14TBSG-E-EMB</t>
  </si>
  <si>
    <t>Seagate EXOS 14TB 3.5" Enterprise HDD drive for use in Hammer Servers only, SATA 6Gb/s, 2.5 M hours MTBF, Workload rate limit 550 TB/year, 5-year limited warranty (ST14000NM001G). This product will be embedded in the server</t>
  </si>
  <si>
    <t>HDD14TBSG-E-KIT</t>
  </si>
  <si>
    <t>Seagate EXOS Enterprise HDD 14TB (ST14000NM001G)</t>
  </si>
  <si>
    <t>Seagate EXOS 14TB 3.5" Enterprise HDD drive for use in Storage Servers and NVR that requires RAID storage, SATA 6Gb/s, 2.5 M hours MTBF, Workload rate limit 550 TB/year, 5-year limited warranty (ST14000NM001G)</t>
  </si>
  <si>
    <t>HDD16TBSG-E</t>
  </si>
  <si>
    <t>Seagate EXOS Enterprise HDD 16TB (ST16000NM001G)
Box of 20 units</t>
  </si>
  <si>
    <t>Seagate EXOS 16TB 3.5" Enterprise HDD drive for use in Storage Servers and NVR that requires RAID storage, SATA 6Gb/s, 2.5 M hours MTBF, Workload rate limit 550 TB/year, 5-year limited warranty (ST16000NM001G). Must be purchased in boxes of 20 units.</t>
  </si>
  <si>
    <t>ST16000NM001G-HW</t>
  </si>
  <si>
    <t>HDD16TBSG-E-KIT</t>
  </si>
  <si>
    <t>Seagate EXOS Enterprise HDD 16TB (ST16000NM001G)</t>
  </si>
  <si>
    <t>Seagate EXOS 16TB 3.5" Enterprise HDD drive for use in Storage Servers and NVR that requires RAID storage, SATA 6Gb/s, 2.5 M hours MTBF, Workload rate limit 550 TB/year, 5-year limited warranty (ST16000NM001G)</t>
  </si>
  <si>
    <t>HDD1TBSG-E</t>
  </si>
  <si>
    <t>Seagate EXOS Enterprise HDD 1TB (ST1000NM000A)
Box of 20 units</t>
  </si>
  <si>
    <t>Seagate EXOS 1TB 3.5" Enterprise HDD drive for use in Storage Servers and NVR that requires RAID storage, SATA 6Gb/s, 2 M hours MTBF, 5-year limited warranty (ST1000NM000A). Must be purchased in boxes of 20 units.</t>
  </si>
  <si>
    <t>EOL - no more 1TB HDD</t>
  </si>
  <si>
    <t>HDD1TBSG-E-EMB</t>
  </si>
  <si>
    <t>Seagate EXOS 1TB 3.5" Enterprise HDD drive for use in Hammer Servers only, SATA 6Gb/s, 2 M hours MTBF, 5-year limited warranty (ST1000NM0008). This product will be embedded in the server</t>
  </si>
  <si>
    <t>HDD1TBSG-E-KIT</t>
  </si>
  <si>
    <t>Seagate EXOS Enterprise HDD 1TB (ST1000NM000A)</t>
  </si>
  <si>
    <t>Seagate EXOS 1TB 3.5" Enterprise HDD drive for use in Storage Servers and NVR that requires RAID storage, SATA 6Gb/s, 2 M hours MTBF, 5-year limited warranty (ST1000NM000A)</t>
  </si>
  <si>
    <t>NO more 1TB HDD</t>
  </si>
  <si>
    <t>HDD2TBSG-E</t>
  </si>
  <si>
    <t>Seagate EXOS Enterprise HDD 2TB (ST2000NM000A)
Box of 20 units</t>
  </si>
  <si>
    <t>Seagate EXOS 2TB 3.5" Enterprise HDD drive for use in Storage Servers and NVR that requires RAID storage, SATA 6Gb/s, 2 M hours MTBF, 5-year limited warranty (ST2000NM000A). Must be purchased in boxes of 20 units.</t>
  </si>
  <si>
    <t>HDD2TBSG-E/V2</t>
  </si>
  <si>
    <t>HDD2TBSG-E-EMB</t>
  </si>
  <si>
    <t>Seagate EXOS 2TB 3.5" Enterprise HDD drive for use in Hammer Servers only, SATA 6Gb/s, 2 M hours MTBF, 5-year limited warranty (ST2000NM0008). This product will be embedded in the server</t>
  </si>
  <si>
    <t>HDD2TBSG-E-KIT</t>
  </si>
  <si>
    <t>Seagate EXOS Enterprise HDD 2TB (ST2000NM000A)</t>
  </si>
  <si>
    <t>Seagate EXOS 2TB 3.5" Enterprise HDD drive for use in Storage Servers and NVR that requires RAID storage, SATA 6Gb/s, 2 M hours MTBF, 5-year limited warranty (ST2000NM000A)</t>
  </si>
  <si>
    <t>EOL - no replacement yet</t>
  </si>
  <si>
    <t>HDD2TBWD</t>
  </si>
  <si>
    <t>HDD-2TB  Box of 20 units</t>
  </si>
  <si>
    <t>2TB Surveillance HDD drive for use in NVR/DVR (WD20PURX-64PFUY0). Must be purchased in boxes of 20 units.</t>
  </si>
  <si>
    <t>HDD2TBWDV2</t>
  </si>
  <si>
    <t>2TB Surveillance HDD drive for use in NVR/DVR (WD20PURX-64AKYY0). Must be purchased in boxes of 20 units.</t>
  </si>
  <si>
    <t>HDD2TBWD-Kit</t>
  </si>
  <si>
    <t>HDD-2TB Kit</t>
  </si>
  <si>
    <t>2TB Surveillance HDD drive for use in NVR/DVR (WD20PURX-64PFUY0)</t>
  </si>
  <si>
    <t>HDD2TBWDV2-KIT</t>
  </si>
  <si>
    <t>2TB Surveillance HDD drive for use in NVR/DVR (WD20PURX-64AKYY0)</t>
  </si>
  <si>
    <t>HDD3TBWD</t>
  </si>
  <si>
    <t>HDD-3TB  Box of 20 units</t>
  </si>
  <si>
    <t>3TB Surveillance HDD drive for use in NVR/DVR (WD30PURX-64PFUY0). Must be purchased in boxes of 20 units.</t>
  </si>
  <si>
    <t>HDD3TBWDV2</t>
  </si>
  <si>
    <t>3TB Surveillance HDD drive for use in NVR/DVR (WD30PURX-64AKYY0). Must be purchased in boxes of 20 units.</t>
  </si>
  <si>
    <t>HDD3TBWD-Kit</t>
  </si>
  <si>
    <t>HDD-3TB Kit</t>
  </si>
  <si>
    <t>3TB Surveillance HDD drive for use in NVR/DVR (WD30PURX-64PFUY0)</t>
  </si>
  <si>
    <t>HDD3TBWDV2-KIT</t>
  </si>
  <si>
    <t>3TB Surveillance HDD drive for use in NVR/DVR (WD30PURX-64AKYY0)</t>
  </si>
  <si>
    <t>HDD4TBSG-E-EMB</t>
  </si>
  <si>
    <t>Seagate EXOS 4TB 3.5" Enterprise HDD drive for use in Hammer Servers only, SATA 6Gb/s, 2 M hours MTBF, Workload rate limit 550 TB/year, 5-year limited warranty (ST4000NM002A). This product will be embedded in the server</t>
  </si>
  <si>
    <t>HDD4TBWD</t>
  </si>
  <si>
    <t>HDD-4TB  Box of 20 units</t>
  </si>
  <si>
    <t>4TB Surveillance HDD drive for use in NVR/DVR (WD40PURX-64N96Y0). Must be purchased in boxes of 20 units.</t>
  </si>
  <si>
    <t>HDD4TBWDV2</t>
  </si>
  <si>
    <t>4TB Surveillance HDD drive for use in NVR/DVR (WD40PURX-64AKYY0). Must be purchased in boxes of 20 units.</t>
  </si>
  <si>
    <t>HDD4TBWD-Kit</t>
  </si>
  <si>
    <t>HDD-4TB Kit</t>
  </si>
  <si>
    <t>4TB Surveillance HDD drive for use in NVR/DVR (WD40PURX-64N96Y0)</t>
  </si>
  <si>
    <t>HDD4TBWDV2-KIT</t>
  </si>
  <si>
    <t>4TB Surveillance HDD drive for use in NVR/DVR (WD40PURX-64AKYY0)</t>
  </si>
  <si>
    <t>HDD6TBSG-E-EMB</t>
  </si>
  <si>
    <t>Seagate EXOS 6TB 3.5" Enterprise HDD drive for use in Hammer Servers only, SATA 6Gb/s, 2 M hours MTBF, Workload rate limit 550 TB/year, 5-year limited warranty (ST6000NM021A). This product will be embedded in the server</t>
  </si>
  <si>
    <t>HDD8TBSG</t>
  </si>
  <si>
    <t>Seagate SkyHawk AI HDD 8TB (ST8000VE000)
Box of 20 pcs</t>
  </si>
  <si>
    <t>Seagate SkyHawk AI 8TB 3.5" Surveillance HDD drive for use in NVR/DVR, SATA 6Gb/s, supports additional 32 AI streams, 1.5 M hours MTBF, Workload rate limit 550 TB/year,  SkyHawk Health Management, 3-year limited warranty (ST8000VE000). Must be purchased in boxes of 20 units.</t>
  </si>
  <si>
    <t>HDD8TBSGv2</t>
  </si>
  <si>
    <t>Seagate SkyHawk AI 8TB 3.5" HDD for use in NVR/DVR, SATA 6Gb/s, max. sustained transfer rate 245MB/s, cache 256MB, average operating/idle power 10.1W/7.8W, MTBF 2 m hours, WRL 550 TB/year, SkyHawk Health Management and Rescue Data Recovery Services (ST8000VE001)</t>
  </si>
  <si>
    <t>HDD8TBSG-E-EMB</t>
  </si>
  <si>
    <t>Seagate EXOS 8TB 3.5" Enterprise HDD drive for use in Hammer Servers only, SATA 6Gb/s, 2 M hours MTBF, Workload rate limit 550 TB/year, 5-year limited warranty (ST8000NM000A). This product will be embedded in the server</t>
  </si>
  <si>
    <t>HDD8TBSG-KIT</t>
  </si>
  <si>
    <t>Seagate SkyHawk AI HDD 8TB (ST8000VE000)</t>
  </si>
  <si>
    <t>Seagate SkyHawk AI 8TB 3.5" Surveillance HDD drive for use in NVR/DVR, SATA 6Gb/s, supports additional 32 AI streams, 1.5 M hours MTBF, Workload rate limit 550 TB/year,  SkyHawk Health Management, 3-year limited warranty (ST8000VE0000)</t>
  </si>
  <si>
    <t>HDD8TBSGv2-KIT</t>
  </si>
  <si>
    <t>Recording - Analog HD</t>
  </si>
  <si>
    <t>HRD-1641</t>
  </si>
  <si>
    <t>16CH AHD, TVI, CVI, CVBS Recorder</t>
  </si>
  <si>
    <t>16CH 4MP Analog HD DVR, TVI/CVI (max. 2MP), CVBS, 4MP AHD @240fps/1080p @480fps recording, 64Mbps throughput, up to 2 internal HDDs, 1 e-SATA, 4CH Audio input/ 1CH Audio output, Coaxial Cable (Pelco-C, ACP), HDMI/VGA video output, Smartphone support (iOS &amp; Android), no HDD included</t>
  </si>
  <si>
    <t>HRX-1620</t>
  </si>
  <si>
    <t>5-in-1 16CH+2CH (up to 18CH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no HDD included</t>
  </si>
  <si>
    <t>HRD-1641-1TB</t>
  </si>
  <si>
    <t>16CH 4MP Analog HD DVR, TVI/CVI (max. 2MP), CVBS, 4MP AHD @240fps/1080p @480fps recording, 64Mbps throughput, up to 2 internal HDDs, 1 e-SATA, 4CH Audio input/ 1CH Audio output, Coaxial Cable (Pelco-C, ACP), HDMI/VGA video output, Smartphone support (iOS &amp; Android), 1TB HDD included</t>
  </si>
  <si>
    <t>HRX-1620-1TB</t>
  </si>
  <si>
    <t>HRD-1642</t>
  </si>
  <si>
    <t>16CH 4MP Analog HD DVR, TVI/CVI (max. 2MP), CVBS, 4MP AHD @240fps/1080p @480fps recording, 64Mbps throughput, up to 8 internal HDDs, 2 e-SATA, 16CH Audio input/ 1CH Audio output, Coaxial Cable (Pelco-C, ACP), HDMI/VGA video output, Smartphone support (iOS &amp; Android), no HDD included</t>
  </si>
  <si>
    <t>HRX-1621</t>
  </si>
  <si>
    <t>5-in-1 16CH+2CH (up to 18CH NW) Embeded DVR, Analog HD (max. 8MP), TVI (max. 8MP), CVI (max. 5MP), CVBS, IP (max. 8MP), triple codec H.265/H.264/MJPEG, max. 70Mbps recording / max. 32Mbps playback throughput, up to 8 internal SATA HDD (48TB max), 16CH Audio input/ 1CH Audio output, Coaxial Cable (Pelco-C), HDMI/VGA local dual monitor, SUNAPI, ONVIF, Easy configuration (Setup Wizard, P2P), Smartphone support (iOS &amp; Android), no HDD included</t>
  </si>
  <si>
    <t>HRD-1642-1TB</t>
  </si>
  <si>
    <t>16CH 4MP Analog HD DVR, TVI/CVI (max. 2MP), CVBS, 4MP AHD @240fps/1080p @480fps recording, 64Mbps throughput, up to 8 internal HDDs, 2 e-SATA, 16CH Audio input/ 1CH Audio output, Coaxial Cable (Pelco-C, ACP), HDMI/VGA video output, Smartphone support (iOS &amp; Android), 1TB HDD included</t>
  </si>
  <si>
    <t>HRX-1621-1TB</t>
  </si>
  <si>
    <t>5-in-1 16CH+2CH (up to 18CH NW) Embeded DVR, Analog HD (max. 8MP), TVI (max. 8MP), CVI (max. 5MP), CVBS, IP (max. 8MP), triple codec H.265/H.264/MJPEG, max. 70Mbps recording / max. 32Mbps playback throughput, up to 8 internal SATA HDD (48TB max), 16CH Audio input/ 1CH Audio output, Coaxial Cable (Pelco-C), HDMI/VGA local dual monitor, SUNAPI, ONVIF, Easy configuration (Setup Wizard, P2P), Smartphone support (iOS &amp; Android), 1TB HDD included</t>
  </si>
  <si>
    <t>HRD-1642-2TB</t>
  </si>
  <si>
    <t>16CH 4MP Analog HD DVR, TVI/CVI (max. 2MP), CVBS, 4MP AHD @240fps/1080p @480fps recording, 64Mbps throughput, up to 8 internal HDDs, 2 e-SATA, 16CH Audio input/ 1CH Audio output, Coaxial Cable (Pelco-C, ACP), HDMI/VGA video output, Smartphone support (iOS &amp; Android), 2TB HDD included</t>
  </si>
  <si>
    <t>HRX-1621-2TB</t>
  </si>
  <si>
    <t>5-in-1 16CH+2CH (up to 18CH NW) Embeded DVR, Analog HD (max. 8MP), TVI (max. 8MP), CVI (max. 5MP), CVBS, IP (max. 8MP), triple codec H.265/H.264/MJPEG, max. 70Mbps recording / max. 32Mbps playback throughput, up to 8 internal SATA HDD (48TB max), 16CH Audio input/ 1CH Audio output, Coaxial Cable (Pelco-C), HDMI/VGA local dual monitor, SUNAPI, ONVIF, Easy configuration (Setup Wizard, P2P), Smartphone support (iOS &amp; Android), 2TB HDD included</t>
  </si>
  <si>
    <t>HRD-440</t>
  </si>
  <si>
    <t>4CH AHD, TVI, CVI, CVBS Recorder</t>
  </si>
  <si>
    <t>4CH 4MP Analog HD DVR, TVI/CVI (max. 2MP), CVBS, 4MP AHD @60fps/1080p @120fps recording, 64Mbps throughput, up to 1 internal HDD, 1CH Audio input/ 1CH Audio output, Coaxial Cable (Pelco-C, ACP), HDMI/VGA video output, Smartphone support (iOS &amp; Android), no HDD included</t>
  </si>
  <si>
    <t>5-in-1 4CH+2CH (up to 6CH NW) Embeded DVR, Analog HD (max. 8MP), TVI (max. 8MP), CVI (max. 5MP), CVBS, IP (max. 8MP), triple codec H.265/H.264/MJPEG, 8fps@8MP/ 12fps@5MP recording, 1 internal SATA HDD (6TB max), 1CH Audio input/ 1CH Audio output, Coaxial Cable (Pelco-C), HDMI/VGA local dual monitor, SUNAPI, ONVIF, Easy configuration (Setup Wizard, P2P), Smartphone support (iOS &amp; Android), No HDD included</t>
  </si>
  <si>
    <t>HRD-440-1TB</t>
  </si>
  <si>
    <t>4CH 4MP Analog HD DVR, TVI/CVI (max. 2MP), CVBS, 4MP AHD @60fps/1080p @120fps recording, 64Mbps throughput, up to 1 internal HDD, 1CH Audio input/ 1CH Audio output, Coaxial Cable (Pelco-C, ACP), HDMI/VGA video output, Smartphone support (iOS &amp; Android), 1TB HDD included</t>
  </si>
  <si>
    <t>HRX-420-1TB</t>
  </si>
  <si>
    <t>5-in-1 4CH+2CH (up to 6CH NW) Embeded DVR, Analog HD (max. 8MP), TVI (max. 8MP), CVI (max. 5MP), CVBS, IP (max. 8MP), triple codec H.265/H.264/MJPEG, 8fps@8MP/ 12fps@5MP recording, 1 internal SATA HDD (6TB max), 1CH Audio input/ 1CH Audio output, Coaxial Cable (Pelco-C), HDMI/VGA local dual monitor, SUNAPI, ONVIF, Easy configuration (Setup Wizard, P2P), Smartphone support (iOS &amp; Android), 1TB HDD included</t>
  </si>
  <si>
    <t>HRD-440-2TB</t>
  </si>
  <si>
    <t>4CH 4MP Analog HD DVR, TVI/CVI (max. 2MP), CVBS, 4MP AHD @60fps/1080p @120fps recording, 64Mbps throughput, up to 1 internal HDD, 1CH Audio input/ 1CH Audio output, Coaxial Cable (Pelco-C, ACP), HDMI/VGA video output, Smartphone support (iOS &amp; Android), 2TB HDD included</t>
  </si>
  <si>
    <t>HRD-442</t>
  </si>
  <si>
    <t>4CH 4MP Analog HD DVR, TVI/CVI (max. 2MP), CVBS, 4MP AHD @60fps/1080p @120fps recording, 64Mbps throughput, up to 2 internal HDDs, 4CH Audio input/ 1CH Audio output, Coaxial Cable (Pelco-C, ACP), HDMI/VGA video output, Smartphone support (iOS &amp; Android), no HDD included</t>
  </si>
  <si>
    <t>HRX-421</t>
  </si>
  <si>
    <t>5-in-1 4CH+2CH (up to 6CH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no HDD included</t>
  </si>
  <si>
    <t>HRD-442-1TB</t>
  </si>
  <si>
    <t>4CH 4MP Analog HD DVR, TVI/CVI (max. 2MP), CVBS, 4MP AHD @60fps/1080p @120fps recording, 64Mbps throughput, up to 2 internal HDDs, 4CH Audio input/ 1CH Audio output, Coaxial Cable (Pelco-C, ACP), HDMI/VGA video output, Smartphone support (iOS &amp; Android), 1TB HDD</t>
  </si>
  <si>
    <t>HRX-421-1TB</t>
  </si>
  <si>
    <t>5-in-1 4CH+2CH (up to 6CH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1TB HDD included</t>
  </si>
  <si>
    <t>HRD-442-2TB</t>
  </si>
  <si>
    <t>4CH 4MP Analog HD DVR, TVI/CVI (max. 2MP), CVBS, 4MP AHD @60fps/1080p @120fps recording, 64Mbps throughput, up to 2 internal HDDs, 4CH Audio input/ 1CH Audio output, Coaxial Cable (Pelco-C, ACP), HDMI/VGA video output, Smartphone support (iOS &amp; Android), 2TB HDD</t>
  </si>
  <si>
    <t>HRX-421-2TB</t>
  </si>
  <si>
    <t>5-in-1 4CH+2CH (up to 6CH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2TB HDD included</t>
  </si>
  <si>
    <t>HRD-840</t>
  </si>
  <si>
    <t>8CH AHD, TVI, CVI  Recorder</t>
  </si>
  <si>
    <t>8CH 4MP Analog HD DVR, TVI/CVI (max. 2MP), 4MP AHD @120fps/1080p @240fps recording, 64Mbps throughput, up to 1 internal HDD, 1CH Audio input/ 1CH Audio output, Coaxial Cable (Pelco-C, ACP), HDMI/VGA video output, Smartphone support (iOS &amp; Android), no HDD included</t>
  </si>
  <si>
    <t>HRX-820</t>
  </si>
  <si>
    <t>5-in-1 8CH+2CH (up to 10CH NW) Embeded DVR, Analog HD (max. 8MP), TVI (max. 8MP), CVI (max. 5MP), CVBS, IP (max. 8MP), triple codec H.265/H.264/MJPEG, 8fps@8MP/ 12fps@5MP recording, up to 2 internal SATA HDD (12TB max), 8CH Audio input/ 1CH Audio output, Coaxial Cable (Pelco-C), HDMI/VGA local dual monitor, SUNAPI, ONVIF, Easy configuration (Setup Wizard, P2P), Smartphone support (iOS &amp; Android), no HDD included</t>
  </si>
  <si>
    <t>HRD-840-1TB</t>
  </si>
  <si>
    <t>8CH 4MP Analog HD DVR, TVI/CVI (max. 2MP), 4MP AHD @120fps/1080p @240fps recording, 64Mbps throughput, up to 1 internal HDD, 1CH Audio input/ 1CH Audio output, Coaxial Cable (Pelco-C, ACP), HDMI/VGA video output, Smartphone support (iOS &amp; Android), 1TB HDD included</t>
  </si>
  <si>
    <t>HRX-820-1TB</t>
  </si>
  <si>
    <t>5-in-1 8CH+2CH (up to 10CH NW) Embeded DVR, Analog HD (max. 8MP), TVI (max. 8MP), CVI (max. 5MP), CVBS, IP (max. 8MP), triple codec H.265/H.264/MJPEG, 8fps@8MP/ 12fps@5MP recording, up to 2 internal SATA HDD (12TB max), 8CH Audio input/ 1CH Audio output, Coaxial Cable (Pelco-C), HDMI/VGA local dual monitor, SUNAPI, ONVIF, Easy configuration (Setup Wizard, P2P), Smartphone support (iOS &amp; Android), 1TB HDD included</t>
  </si>
  <si>
    <t>HRD-842</t>
  </si>
  <si>
    <t>8CH AHD, TVI, CVI, CVBS Recorder</t>
  </si>
  <si>
    <t>8CH 4MP Analog HD DVR, TVI/CVI (max. 2MP), CVBS, 4MP AHD @120fps/1080p @240fps recording, 64Mbps throughput, up to 4 internal HDDs, 2 e-SATA, 8CH Audio input/ 1CH Audio output, Coaxial Cable (Pelco-C, ACP), HDMI/VGA video output, Smartphone support (iOS &amp; Android), no HDD included</t>
  </si>
  <si>
    <t>HRX-821</t>
  </si>
  <si>
    <t>5-in-1 8CH+2CH (up to 10CH NW) Embeded DVR, Analog HD (max. 8MP), TVI (max. 8MP), CVI (max. 5MP), CVBS, IP (max. 8MP), triple codec H.265/H.264/MJPEG, 8fps@8MP/ 12fps@5MP recording, up to 4 internal SATA HDD (24TB max), 8CH Audio input/ 1CH Audio output, Coaxial Cable (Pelco-C), HDMI/VGA local dual monitor, SUNAPI, ONVIF, Easy configuration (Setup Wizard, P2P), Smartphone support (iOS &amp; Android), no HDD included</t>
  </si>
  <si>
    <t>HRD-842-1TB</t>
  </si>
  <si>
    <t>8CH 4MP Analog HD DVR, TVI/CVI (max. 2MP), CVBS, 4MP AHD @120fps/1080p @240fps recording, 64Mbps throughput, up to 4 internal HDDs, 2 e-SATA, 8CH Audio input/ 1CH Audio output, Coaxial Cable (Pelco-C, ACP), HDMI/VGA video output, Smartphone support (iOS &amp; Android), 1TB HDD included</t>
  </si>
  <si>
    <t>HRX-821-1TB</t>
  </si>
  <si>
    <t>5-in-1 8CH+2CH (up to 10CH NW) Embeded DVR, Analog HD (max. 8MP), TVI (max. 8MP), CVI (max. 5MP), CVBS, IP (max. 8MP), triple codec H.265/H.264/MJPEG, 8fps@8MP/ 12fps@5MP recording, up to 4 internal SATA HDD (24TB max), 8CH Audio input/ 1CH Audio output, Coaxial Cable (Pelco-C), HDMI/VGA local dual monitor, SUNAPI, ONVIF, Easy configuration (Setup Wizard, P2P), Smartphone support (iOS &amp; Android), 1TB HDD included</t>
  </si>
  <si>
    <t>HRD-842-2TB</t>
  </si>
  <si>
    <t>8CH 4MP Analog HD DVR, TVI/CVI (max. 2MP), CVBS, 4MP AHD @120fps/1080p @240fps recording, 64Mbps throughput, up to 4 internal HDDs, 2 e-SATA, 8CH Audio input/ 1CH Audio output, Coaxial Cable (Pelco-C, ACP), HDMI/VGA video output, Smartphone support (iOS &amp; Android), 2TB HDD included</t>
  </si>
  <si>
    <t>HRX-821-2TB</t>
  </si>
  <si>
    <t>5-in-1 8CH+2CH (up to 10CH NW) Embeded DVR, Analog HD (max. 8MP), TVI (max. 8MP), CVI (max. 5MP), CVBS, IP (max. 8MP), triple codec H.265/H.264/MJPEG, 8fps@8MP/ 12fps@5MP recording, up to 4 internal SATA HDD (24TB max), 8CH Audio input/ 1CH Audio output, Coaxial Cable (Pelco-C), HDMI/VGA local dual monitor, SUNAPI, ONVIF, Easy configuration (Setup Wizard, P2P), Smartphone support (iOS &amp; Android), 2TB HDD included</t>
  </si>
  <si>
    <t>16CH+2CH</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</si>
  <si>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</si>
  <si>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16CH Pentabrid (AHD, HDTVI, HDCVI, CVBS, IP) Recorder - 1TB HDD</t>
  </si>
  <si>
    <t>5-in-1 16CH+2CH (up to 18CH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1TB included</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</si>
  <si>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</si>
  <si>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HRX-1620-2TB</t>
  </si>
  <si>
    <t>16CH Pentabrid (AHD, HDTVI, HDCVI, CVBS, IP) Recorder - 2TB HDD</t>
  </si>
  <si>
    <t>5-in-1 16CH+2CH (up to 18CH NW) Embeded DVR, Analog HD (max. 8MP), TVI (max. 8MP), CVI (max. 5MP), CVBS, IP (max. 8MP), triple codec H.265/H.264/MJPEG, 8fps@8MP/ 12fps@5MP recording, up to 2 internal SATA HDD (12TB max), 4CH Audio input/ 1CH Audio output, Coaxial Cable (Pelco-C), HDMI/VGA local dual monitor, SUNAPI, ONVIF, Easy configuration (Setup Wizard, P2P), Smartphone support (iOS &amp; Android), 2TB HDD included</t>
  </si>
  <si>
    <t>HRX-1632</t>
  </si>
  <si>
    <t>5-in-1 16CH (up to 8CH NW) Embeded DVR, Analog HD (max. 4MP), TVI (max. 4MP), CVI (max. 4MP), CVBS, IP (max. 8MP), triple codec H.265/H.264/MJPEG, max. 80Mbps recording / max. 32Mbps playback throughput, up to 4 internal SATA HDD (24TB max), 16CH Audio input/ 1CH Audio output, Coaxial Cable (Pelco-C), HDMI/VGA local dual monitor, SUNAPI, ONVIF, Easy configuration (Setup Wizard, P2P), Smartphone support (iOS &amp; Android), no HDD included</t>
  </si>
  <si>
    <t>HRX-1632-24TB-S</t>
  </si>
  <si>
    <t>16CH Pentabrid (AHD, HDTVI, HDCVI, CVBS, IP) Recorder - 4x 6TB HDD</t>
  </si>
  <si>
    <t>5-in-1 16CH (up to 8CH NW) Embeded DVR, Analog HD (max. 4MP), TVI (max. 4MP), CVI (max. 4MP), CVBS, IP (max. 8MP), triple codec H.265/H.264/MJPEG, max. 80Mbps recording / max. 32Mbps playback throughput, up to 4 internal SATA HDD (24TB max), 16CH Audio input/ 1CH Audio output, Coaxial Cable (Pelco-C), HDMI/VGA local dual monitor, SUNAPI, ONVIF, Easy configuration (Setup Wizard, P2P), Smartphone support (iOS &amp; Android), 4x 6TB Seagate SKyHawk HDD included (ST6000VX001)</t>
  </si>
  <si>
    <t>HRX-1632-2TB-S</t>
  </si>
  <si>
    <t>5-in-1 16CH (up to 8CH NW) Embeded DVR, Analog HD (max. 4MP), TVI (max. 4MP), CVI (max. 4MP), CVBS, IP (max. 8MP), triple codec H.265/H.264/MJPEG, max. 80Mbps recording / max. 32Mbps playback throughput, up to 4 internal SATA HDD (24TB max), 16CH Audio input/ 1CH Audio output, Coaxial Cable (Pelco-C), HDMI/VGA local dual monitor, SUNAPI, ONVIF, Easy configuration (Setup Wizard, P2P), Smartphone support (iOS &amp; Android), 2TB Seagate SKyHawk HDD included (ST2000VX008)</t>
  </si>
  <si>
    <t>HRX-1635-2TB-S</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</si>
  <si>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2TB Seagate SkyHawk HDD included (ST2000VX015)</t>
  </si>
  <si>
    <t>HRX-1632-4TB-S</t>
  </si>
  <si>
    <t>5-in-1 16CH (up to 8CH NW) Embeded DVR, Analog HD (max. 4MP), TVI (max. 4MP), CVI (max. 4MP), CVBS, IP (max. 8MP), triple codec H.265/H.264/MJPEG, max. 80Mbps recording / max. 32Mbps playback throughput, up to 4 internal SATA HDD (24TB max), 16CH Audio input/ 1CH Audio output, Coaxial Cable (Pelco-C), HDMI/VGA local dual monitor, SUNAPI, ONVIF, Easy configuration (Setup Wizard, P2P), Smartphone support (iOS &amp; Android), 4TB Seagate SKyHawk HDD included (ST4000VX007)</t>
  </si>
  <si>
    <t>HRX-1632-6TB-S</t>
  </si>
  <si>
    <t>16CH Pentabrid (AHD, HDTVI, HDCVI, CVBS, IP) Recorder - 6TB HDD</t>
  </si>
  <si>
    <t>5-in-1 16CH (up to 8CH NW) Embeded DVR, Analog HD (max. 4MP), TVI (max. 4MP), CVI (max. 4MP), CVBS, IP (max. 8MP), triple codec H.265/H.264/MJPEG, max. 80Mbps recording / max. 32Mbps playback throughput, up to 4 internal SATA HDD (24TB max), 16CH Audio input/ 1CH Audio output, Coaxial Cable (Pelco-C), HDMI/VGA local dual monitor, SUNAPI, ONVIF, Easy configuration (Setup Wizard, P2P), Smartphone support (iOS &amp; Android), 6TB Seagate SKyHawk HDD included (ST6000VX001)</t>
  </si>
  <si>
    <t>5-in-1 4CH+2CH (up to 6CH NW) Embeded DVR, Analog HD (max. 8MP), TVI (max. 8MP), CVI (max. 5MP), CVBS, IP (max. 8MP), triple codec H.265/H.264/MJPEG, 8fps@8MP/ 12fps@5MP recording, 1 internal SATA HDD (6TB max), 1CH Audio input/ 1CH Audio output, Coaxial Cable (Pelco-C), HDMI/VGA local dual monitor, SUNAPI, ONVIF, Easy configuration (Setup Wizard, P2P), Smartphone support (iOS &amp; Android), no HDD included</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</si>
  <si>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</si>
  <si>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4CH Pentabrid (AHD, HDTVI, HDCVI, CVBS, IP) Recorder - 1TB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</si>
  <si>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</si>
  <si>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HRX-435-2TB-S</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</si>
  <si>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2TB Seagate SKyHawk HDD included (ST2000VX008)</t>
  </si>
  <si>
    <t>8CH+2CH</t>
  </si>
  <si>
    <t>HRX-835</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</si>
  <si>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No HDD included</t>
  </si>
  <si>
    <t>8CH Pentabrid (AHD, HDTVI, HDCVI, CVBS, IP) Recorder - 1TB HDD</t>
  </si>
  <si>
    <t>HRX-820-2TB</t>
  </si>
  <si>
    <t>8CH Pentabrid (AHD, HDTVI, HDCVI, CVBS, IP) Recorder - 2TB HDD</t>
  </si>
  <si>
    <t>5-in-1 8CH+2CH (up to 10CH NW) Embeded DVR, Analog HD (max. 8MP), TVI (max. 8MP), CVI (max. 5MP), CVBS, IP (max. 8MP), triple codec H.265/H.264/MJPEG, 8fps@8MP/ 12fps@5MP recording, up to 2 internal SATA HDD (12TB max), 8CH Audio input/ 1CH Audio output, Coaxial Cable (Pelco-C), HDMI/VGA local dual monitor, SUNAPI, ONVIF, Easy configuration (Setup Wizard, P2P), Smartphone support (iOS &amp; Android), 2TB HDD included</t>
  </si>
  <si>
    <t>LH43QMREBGCX</t>
  </si>
  <si>
    <t>4K UHD 43" LED Monitor</t>
  </si>
  <si>
    <t>43" Samsung LED Monitor, 4K UHD (3840x2160), Slim Signage Panel, 500nit, 16:9 aspect ratio, Contrast ratio 4,000:1, Response time 8ms, DVI-D, 2xHDMI 2.0, HDMI, Display Port, RS232C, 2xUSB 2.0, Audio In, Built-in Speaker (10W X 2), VESA Compatible (200x200mm), WiFi/Bluetooth, Embedded Media Player</t>
  </si>
  <si>
    <t>LH43QMREPGCX</t>
  </si>
  <si>
    <t>43" Samsung LED Monitor, 4K UHD (3840x2160), Slim Signage Panel, 500nit, 16:9 aspect ratio,24/7, Contrast ratio 4,000:1, Response time 8ms, System ON chip - SSSP 6.0 - WIFI -8GB, 2xHDMI 2.0, HDMI, Display Port, (200x200mm), P5x BT, VESA Compatible (200x200mm), WiFi/Bluetooth, Embedded Media Player</t>
  </si>
  <si>
    <t>LH43QMRBPGCXEN</t>
  </si>
  <si>
    <t>LH46UDEBLBB</t>
  </si>
  <si>
    <t>1080p 46" Videowall Monitor</t>
  </si>
  <si>
    <t>46" Samsung Videowall Monitor, 1080p (1920x1080), Super Thin Bezel (3.5mm), 500nit, 16:9 aspect ratio, Contrast ratio 3,500:1, Response time 8ms, DVI-D, HDMI 2.0, HDMI, VGA, Display Port, RS232C, VESA Compatible (600x400mm)</t>
  </si>
  <si>
    <t>LH46VMTUBGBXEN</t>
  </si>
  <si>
    <t>46" Samsung Videowall Monitor, 1080p (1920x1080), Super Thin Bezel (3.5mm), 500nit, 16:9 aspect ratio, Contrast ratio 3,500:1, Response time 8ms, DVI-D, 2xHDMI 2.0, HDMI, VGA, Display Port, RS232C, USB 2.0, VESA Compatible (600x400mm)</t>
  </si>
  <si>
    <t>LH49QMREBGCX</t>
  </si>
  <si>
    <t>4K UHD 49" LED Monitor</t>
  </si>
  <si>
    <t>49" Samsung LED Monitor, 4K UHD (3840x2160), Slim Signage Panel, 500nit, 16:9 aspect ratio, Contrast ratio 4,000:1, Response time 8ms, DVI, DVI-D, 2xHDMI 2.0, HDMI, Display Port, RS232C, 2xUSB 2.0, Audio In, Built-in Speaker (10W X 2), VESA Compatible (200x200mm), WiFi/Bluetooth, Embedded Media Player</t>
  </si>
  <si>
    <t>LH50QMRBBGCXEN</t>
  </si>
  <si>
    <t>50" Samsung LED Monitor, 4K UHD (3840x2160), Slim Signage Panel, 500nit, 16:9 aspect ratio, Contrast ratio 4,000:1, Response time 8ms, DVI-D, 2xHDMI 2.0, HDMI, Display Port, RS232C, 2xUSB 2.0, Audio In, Built-in Speaker (10W X 2), VESA Compatible (200x200mm), WiFi/Bluetooth, Embedded Media Player</t>
  </si>
  <si>
    <t>LH55QMREBGCX</t>
  </si>
  <si>
    <t>4K UHD 55" LED Monitor</t>
  </si>
  <si>
    <t>55" Samsung LED Monitor, 4K UHD (3840x2160), Slim Signage Panel, 500nit, 16:9 aspect ratio, Contrast ratio 4,000:1, Response time 8ms, DVI, 2xHDMI 2.0, Display Port, RS232C, 2xUSB 2.0, Audio In, Built-in Speaker (10W X 2), VESA Compatible (200x200mm), WiFi/Bluetooth, Embedded Media Player</t>
  </si>
  <si>
    <t>LH55QMRBBGCXEN</t>
  </si>
  <si>
    <t>55" Samsung LED Monitor, 4K UHD (3840x2160), Slim Signage Panel, 500nit, 16:9 aspect ratio, Contrast ratio 4,000:1, Response time 8ms, DVI-D, 2xHDMI 2.0, HDMI, Display Port, RS232C, 2xUSB 2.0, Audio In, Built-in Speaker (10W X 2), VESA Compatible (200x200mm), WiFi/Bluetooth, Embedded Media Player</t>
  </si>
  <si>
    <t>LH55UHFHLBB</t>
  </si>
  <si>
    <t>1080p 55" Videowall Monitor</t>
  </si>
  <si>
    <t>55" Direct LED Samsung Videowall Monitor, 1080p (1920x1080), Ultra Thin Bezel (1.7mm), 700nit, 16:9 aspect ratio, Contrast ratio 1200:1, 2xHDMI 2.0, 1x1.2 Display Port,WMN-55VD; 4K Daisy Chain, VESA Compatible (600x400mm)</t>
  </si>
  <si>
    <t>LH55VHTEBGBXEN</t>
  </si>
  <si>
    <t>LH55UMHHLBB</t>
  </si>
  <si>
    <t>55" Direct LED Samsung Videowall Monitor, 1080p (1920x1080), Ultra Thin Bezel (1.7mm), 500nit, 16:9 aspect ratio, Contrast ratio 1200:1, 2xHDMI 2.0, 1x1.2 Display Port,WMN-55VD; 4K Daisy Chain, VESA Compatible (600x400mm)</t>
  </si>
  <si>
    <t>LH55VMTEBGBXEN</t>
  </si>
  <si>
    <t>LH55VHRRBGBX</t>
  </si>
  <si>
    <t>55" Direct LED Samsung Videowall Monitor, 1080p (1920x1080), Razor Thin Bezel (0.88mm), 700nit, 16:9 aspect ratio, Contrast ratio 1100:1, 2xHDMI 2.0, 1x1.2 Display Port,WMN-55VD; 4K Daisy Chain, VESA Compatible (600x400mm)</t>
  </si>
  <si>
    <t>LH55VHRRBGBXEN</t>
  </si>
  <si>
    <t>LH65QMREBGCX</t>
  </si>
  <si>
    <t>4K UHD 65" LED Monitor</t>
  </si>
  <si>
    <t>65" Samsung LED Monitor, 4K UHD (3840x2160), Slim Signage Panel, 500nit, 16:9 aspect ratio, Contrast ratio 4,000:1, Response time 8ms, DVI, 2xHDMI 2.0, HDMI, Display Port, RS232C, 2xUSB 2.0, Audio In, Built-in Speaker (10W X 2), VESA Compatible (400x400mm), WiFi/Bluetooth, Embedded Media Player</t>
  </si>
  <si>
    <t>LH65QMRBBGCXEN</t>
  </si>
  <si>
    <t>65" Samsung LED Monitor, 4K UHD (3840x2160), Slim Signage Panel, 500nit, 16:9 aspect ratio, Contrast ratio 4,000:1, Response time 8ms, DVI-D, 2xHDMI 2.0, HDMI, Display Port, RS232C, 2xUSB 2.0, Audio In, Built-in Speaker (10W X 2), VESA Compatible (200x200mm), WiFi/Bluetooth, Embedded Media Player</t>
  </si>
  <si>
    <t>LND-6010R</t>
  </si>
  <si>
    <t>Wisenet L</t>
  </si>
  <si>
    <t>Wisenet L network IR indoor dome camera, 2MP @30fps, 3mm fixed lens (102°), H.264/MJPEG with WiseStream II, Multiple streaming, 120dB WDR, Auto Day &amp; Night (ICR), IR viewable length 20m, Motion detection, Tampering, Hallway View, microSD/SDHC slot, LDC support (Lens Distortion Correction), PoE</t>
  </si>
  <si>
    <t>LND-6012R</t>
  </si>
  <si>
    <t>LND-6020R</t>
  </si>
  <si>
    <t>Wisenet L network IR indoor dome camera, 2MP @30fps, 4mm fixed lens (80°), H.264/MJPEG with WiseStream II, Multiple streaming, 120dB WDR, Auto Day &amp; Night (ICR), IR viewable length 20m, Motion detection, Tampering, Hallway View, microSD/SDHC slot, LDC support (Lens Distortion Correction), PoE</t>
  </si>
  <si>
    <t>LND-6022R</t>
  </si>
  <si>
    <t>LND-6030R</t>
  </si>
  <si>
    <t>Wisenet L network IR indoor dome camera, 2MP @30fps, 6mm fixed lens (51°), H.264/MJPEG with WiseStream II, Multiple streaming, 120dB WDR, Auto Day &amp; Night (ICR), IR viewable length 20m, Motion detection, Tampering, Hallway View, microSD/SDHC slot, LDC support (Lens Distortion Correction), PoE</t>
  </si>
  <si>
    <t>LND-6032R</t>
  </si>
  <si>
    <t>LND-6070R</t>
  </si>
  <si>
    <t>Wisenet L network IR indoor dome camera, 2MP @30fps, 3.2 ~ 10.0mm vari-focal lens (3.1x) (101.6°~ 31.3°), H.264/MJPEG with WiseStream II, Multiple streaming, 120dB WDR, Auto Day &amp; Night (ICR), IR viewable length 20m, Motion detection, Tampering, Hallway View, microSD/SDHC slot, LDC support (Lens Distortion Correction), PoE</t>
  </si>
  <si>
    <t>LND-6072R</t>
  </si>
  <si>
    <t>LNO-6010R</t>
  </si>
  <si>
    <t>Wisenet L network IR outdoor vandal bullet camera, 2MP @30fps, 3mm fixed lens (102°), H.264/MJPEG with WiseStream II, Multiple streaming, 120dB WDR, Auto Day &amp; Night (ICR), IR viewable length 30m, Motion detection, Tampering, Hallway View, microSD/SDHC slot, LDC support (Lens Distortion Correction), IP66, PoE</t>
  </si>
  <si>
    <t>LNO-6012R</t>
  </si>
  <si>
    <t>LNO-6020R</t>
  </si>
  <si>
    <t>Wisenet L network IR outdoor vandal bullet camera, 2MP @30fps, 3.2 ~ 10.0mm vari-focal lens (3.1x) (101.6°~ 31.3°), H.264/MJPEG with WiseStream II, Multiple streaming, 120dB WDR, Auto Day &amp; Night (ICR), IR viewable length 30m, Motion detection, Tampering, Hallway View, microSD/SDHC slot, LDC support (Lens Distortion Correction), IP66, PoE</t>
  </si>
  <si>
    <t>LNO-6022R</t>
  </si>
  <si>
    <t>Wisenet L network IR outdoor vandal bullet camera, 2MP @30fps, 4mm fixed lens (80°), H.264/MJPEG with WiseStream II, Multiple streaming, 120dB WDR, Auto Day &amp; Night (ICR), IR viewable length 30m, Motion detection, Tampering, Hallway View, microSD/SDHC slot, LDC support (Lens Distortion Correction), IP66, PoE</t>
  </si>
  <si>
    <t>LNO-6030R</t>
  </si>
  <si>
    <t>LNO-6032R</t>
  </si>
  <si>
    <t>Wisenet L network IR outdoor vandal bullet camera, 2MP @30fps, 6mm fixed lens (51°), H.264/MJPEG with WiseStream II, Multiple streaming, 120dB WDR, Auto Day &amp; Night (ICR), IR viewable length 30m, Motion detection, Tampering, Hallway View, microSD/SDHC slot, LDC support (Lens Distortion Correction), IP66, PoE</t>
  </si>
  <si>
    <t>LNO-6070R</t>
  </si>
  <si>
    <t>LNV-6010R</t>
  </si>
  <si>
    <t>Wisenet L network IR outdoor vandal dome camera, 2MP @30fps, 3mm fixed lens (102°), H.264/MJPEG with WiseStream II, Multiple streaming, 120dB WDR, Auto Day &amp; Night (ICR), IR viewable length 30m, Motion detection, Tampering, Hallway View, microSD/SDHC slot, LDC support (Lens Distortion Correction), IP66, IK10,PoE</t>
  </si>
  <si>
    <t>LNV-6012R</t>
  </si>
  <si>
    <t>LNV-6020R</t>
  </si>
  <si>
    <t>Wisenet L network IR outdoor vandal dome camera, 2MP @30fps, 4mm fixed lens (80°), H.264/MJPEG with WiseStream II, Multiple streaming, 120dB WDR, Auto Day &amp; Night (ICR), IR viewable length 30m, Motion detection, Tampering, Hallway View, microSD/SDHC slot, LDC support (Lens Distortion Correction), IP66, IK10, PoE</t>
  </si>
  <si>
    <t>LNV-6022R</t>
  </si>
  <si>
    <t>LNV-6030R</t>
  </si>
  <si>
    <t>Wisenet L network IR outdoor vandal dome camera, 2MP @30fps, 6mm fixed lens (51°), H.264/MJPEG with WiseStream II, Multiple streaming, 120dB WDR, Auto Day &amp; Night (ICR), IR viewable length 30m, Motion detection, Tampering, Hallway View, microSD/SDHC slot, LDC support (Lens Distortion Correction), IP66, IK10, PoE</t>
  </si>
  <si>
    <t>LNV-6032R</t>
  </si>
  <si>
    <t>LNV-6070R</t>
  </si>
  <si>
    <t>Wisenet L network IR outdoor vandal dome camera, 2MP @30fps, 3.2 ~ 10.0mm vari-focal lens (3.1x) (101.6°~ 31.3°),  H.264/MJPEG with WiseStream II, Multiple streaming, 120dB WDR, Auto Day &amp; Night (ICR), IR viewable length 30m, Motion detection, Tampering, Hallway View, microSD/SDHC slot, LDC support (Lens Distortion Correction), IP66, IK10, PoE</t>
  </si>
  <si>
    <t>LNV-6072R</t>
  </si>
  <si>
    <t>LRN-1610S</t>
  </si>
  <si>
    <r>
      <rPr>
        <rFont val="Arial"/>
        <color rgb="FF000000"/>
        <sz val="12.0"/>
      </rPr>
      <t xml:space="preserve">16CH 5MP NVR, 16CH @5MP each, triple codec H.265/H.264/MJPEG, </t>
    </r>
    <r>
      <rPr>
        <rFont val="Arial"/>
        <b/>
        <color rgb="FF000000"/>
        <sz val="12.0"/>
      </rPr>
      <t>Dual track recording</t>
    </r>
    <r>
      <rPr>
        <rFont val="Arial"/>
        <color rgb="FF000000"/>
        <sz val="12.0"/>
      </rPr>
      <t>, 100Mbps network camera recording, Plug &amp; play by 16 PoE ports, ARB (Automatic Recovery Backup), 2 fixed internal SATA HDD (12TB max), HDMI local monitor, SUNAPI, ONVIF, Easy configuration (Setup Wizard, P2P), no HDD included</t>
    </r>
  </si>
  <si>
    <t>LRN-1610S-2TB-S</t>
  </si>
  <si>
    <t>16CH 2 Bay PoE NVR - 2TB HDD</t>
  </si>
  <si>
    <r>
      <rPr>
        <rFont val="Arial"/>
        <color rgb="FF000000"/>
        <sz val="12.0"/>
      </rPr>
      <t xml:space="preserve">16CH 5MP NVR, 16CH @5MP each, triple codec H.265/H.264/MJPEG, </t>
    </r>
    <r>
      <rPr>
        <rFont val="Arial"/>
        <b/>
        <color rgb="FF000000"/>
        <sz val="12.0"/>
      </rPr>
      <t>Dual track recording</t>
    </r>
    <r>
      <rPr>
        <rFont val="Arial"/>
        <color rgb="FF000000"/>
        <sz val="12.0"/>
      </rPr>
      <t>, 100Mbps network camera recording, Plug &amp; play by 16 PoE ports, ARB (Automatic Recovery Backup), 2 fixed internal SATA HDD (12TB max), HDMI local monitor, SUNAPI, ONVIF, Easy configuration (Setup Wizard, P2P), 2TB Seagate SKyHawk HDD included (ST2000VX008)</t>
    </r>
  </si>
  <si>
    <t>LRN-1610S-4TB-S</t>
  </si>
  <si>
    <r>
      <rPr>
        <rFont val="Arial"/>
        <color rgb="FF000000"/>
        <sz val="12.0"/>
      </rPr>
      <t xml:space="preserve">16CH 5MP NVR, 16CH @5MP each, triple codec H.265/H.264/MJPEG, </t>
    </r>
    <r>
      <rPr>
        <rFont val="Arial"/>
        <b/>
        <color rgb="FF000000"/>
        <sz val="12.0"/>
      </rPr>
      <t>Dual track recording</t>
    </r>
    <r>
      <rPr>
        <rFont val="Arial"/>
        <color rgb="FF000000"/>
        <sz val="12.0"/>
      </rPr>
      <t>, 100Mbps network camera recording, Plug &amp; play by 16 PoE ports, ARB (Automatic Recovery Backup), 2 fixed internal SATA HDD (12TB max), HDMI local monitor, SUNAPI, ONVIF, Easy configuration (Setup Wizard, P2P), 4TB Seagate SKyHawk HDD included (ST4000VX007)</t>
    </r>
  </si>
  <si>
    <t>LRN-1610S-8TB-S</t>
  </si>
  <si>
    <t>16CH 2 Bay PoE NVR - 8TB HDD</t>
  </si>
  <si>
    <r>
      <rPr>
        <rFont val="Arial"/>
        <color rgb="FF000000"/>
        <sz val="12.0"/>
      </rPr>
      <t xml:space="preserve">16CH 5MP NVR, 16CH @5MP each, triple codec H.265/H.264/MJPEG, </t>
    </r>
    <r>
      <rPr>
        <rFont val="Arial"/>
        <b/>
        <color rgb="FF000000"/>
        <sz val="12.0"/>
      </rPr>
      <t>Dual track recording,</t>
    </r>
    <r>
      <rPr>
        <rFont val="Arial"/>
        <color rgb="FF000000"/>
        <sz val="12.0"/>
      </rPr>
      <t xml:space="preserve"> 100Mbps network camera recording, Plug &amp; play by 16 PoE ports, ARB (Automatic Recovery Backup), 2 fixed internal SATA HDD (12TB max), HDMI local monitor, SUNAPI, ONVIF, Easy configuration (Setup Wizard, P2P), 2x 4TB Seagate SKyHawk HDD included (ST4000VX007)</t>
    </r>
  </si>
  <si>
    <t>LRN-410S</t>
  </si>
  <si>
    <r>
      <rPr>
        <rFont val="Arial"/>
        <color rgb="FF000000"/>
        <sz val="12.0"/>
      </rPr>
      <t xml:space="preserve">4CH 5MP NVR, 4CH @5MP each, triple codec H.265/H.264/MJPEG, </t>
    </r>
    <r>
      <rPr>
        <rFont val="Arial"/>
        <b/>
        <color rgb="FF000000"/>
        <sz val="12.0"/>
      </rPr>
      <t>Dual track recording</t>
    </r>
    <r>
      <rPr>
        <rFont val="Arial"/>
        <color rgb="FF000000"/>
        <sz val="12.0"/>
      </rPr>
      <t>, 30Mbps network camera recording, Plug &amp; play by 4 PoE ports, ARB (Automatic Recovery Backup), 1 fixed internal SATA HDD (6TB max), HDMI local monitor, SUNAPI, ONVIF, Easy configuration (Setup Wizard, P2P), no HDD included</t>
    </r>
  </si>
  <si>
    <t>LRN-410S-1TB-S</t>
  </si>
  <si>
    <t>4CH PoE NVR - 1TB HDD</t>
  </si>
  <si>
    <r>
      <rPr>
        <rFont val="Arial"/>
        <color rgb="FF000000"/>
        <sz val="12.0"/>
      </rPr>
      <t xml:space="preserve">4CH 5MP NVR, 4CH @5MP each, triple codec H.265/H.264/MJPEG, </t>
    </r>
    <r>
      <rPr>
        <rFont val="Arial"/>
        <b/>
        <color rgb="FF000000"/>
        <sz val="12.0"/>
      </rPr>
      <t>Dual track recording</t>
    </r>
    <r>
      <rPr>
        <rFont val="Arial"/>
        <color rgb="FF000000"/>
        <sz val="12.0"/>
      </rPr>
      <t>, 30Mbps network camera recording, Plug &amp; play by 4 PoE ports, ARB (Automatic Recovery Backup), 1 fixed internal SATA HDD (6TB max), HDMI local monitor, SUNAPI, ONVIF, Easy configuration (Setup Wizard, P2P), 1TB Seagate SKyHawk HDD included (ST1000VX005)</t>
    </r>
  </si>
  <si>
    <t>LRN-410S-2TB-S</t>
  </si>
  <si>
    <t>4CH PoE NVR - 2TB HDD</t>
  </si>
  <si>
    <r>
      <rPr>
        <rFont val="Arial"/>
        <color rgb="FF000000"/>
        <sz val="12.0"/>
      </rPr>
      <t xml:space="preserve">4CH 5MP NVR, 4CH @5MP each, triple codec H.265/H.264/MJPEG, </t>
    </r>
    <r>
      <rPr>
        <rFont val="Arial"/>
        <b/>
        <color rgb="FF000000"/>
        <sz val="12.0"/>
      </rPr>
      <t>Dual track recording</t>
    </r>
    <r>
      <rPr>
        <rFont val="Arial"/>
        <color rgb="FF000000"/>
        <sz val="12.0"/>
      </rPr>
      <t>, 30Mbps network camera recording, Plug &amp; play by 4 PoE ports, ARB (Automatic Recovery Backup), 1 fixed internal SATA HDD (6TB max), HDMI local monitor, SUNAPI, ONVIF, Easy configuration (Setup Wizard, P2P), 2TB Seagate SKyHawk HDD included (ST2000VX008)</t>
    </r>
  </si>
  <si>
    <t>LRN-410S-4TB-S</t>
  </si>
  <si>
    <r>
      <rPr>
        <rFont val="Arial"/>
        <color rgb="FF000000"/>
        <sz val="12.0"/>
      </rPr>
      <t xml:space="preserve">4CH 5MP NVR, 4CH @5MP each, triple codec H.265/H.264/MJPEG, </t>
    </r>
    <r>
      <rPr>
        <rFont val="Arial"/>
        <b/>
        <color rgb="FF000000"/>
        <sz val="12.0"/>
      </rPr>
      <t>Dual track recording</t>
    </r>
    <r>
      <rPr>
        <rFont val="Arial"/>
        <color rgb="FF000000"/>
        <sz val="12.0"/>
      </rPr>
      <t>, 30Mbps network camera recording, Plug &amp; play by 4 PoE ports, ARB (Automatic Recovery Backup), 1 fixed internal SATA HDD (6TB max), HDMI local monitor, SUNAPI, ONVIF, Easy configuration (Setup Wizard, P2P), 4TB Seagate SKyHawk HDD included (ST4000VX007)</t>
    </r>
  </si>
  <si>
    <t>LRN-810S</t>
  </si>
  <si>
    <r>
      <rPr>
        <rFont val="Arial"/>
        <color rgb="FF000000"/>
        <sz val="12.0"/>
      </rPr>
      <t xml:space="preserve">8CH 5MP NVR, 8CH @5MP each, triple codec H.265/H.264/MJPEG, </t>
    </r>
    <r>
      <rPr>
        <rFont val="Arial"/>
        <b/>
        <color rgb="FF000000"/>
        <sz val="12.0"/>
      </rPr>
      <t>Dual track recording</t>
    </r>
    <r>
      <rPr>
        <rFont val="Arial"/>
        <color rgb="FF000000"/>
        <sz val="12.0"/>
      </rPr>
      <t>, 50Mbps network camera recording, Plug &amp; play by 8 PoE ports, ARB (Automatic Recovery Backup), 1 fixed internal SATA HDD (6TB max), HDMI local monitor, SUNAPI, ONVIF, Easy configuration (Setup Wizard, P2P), no HDD included</t>
    </r>
  </si>
  <si>
    <t>LRN-810S-1TB-S</t>
  </si>
  <si>
    <t>8CH PoE NVR - 1TB HDD</t>
  </si>
  <si>
    <r>
      <rPr>
        <rFont val="Arial"/>
        <color rgb="FF000000"/>
        <sz val="12.0"/>
      </rPr>
      <t xml:space="preserve">8CH 5MP NVR, 8CH @5MP each, triple codec H.265/H.264/MJPEG, </t>
    </r>
    <r>
      <rPr>
        <rFont val="Arial"/>
        <b/>
        <color rgb="FF000000"/>
        <sz val="12.0"/>
      </rPr>
      <t>Dual track recording</t>
    </r>
    <r>
      <rPr>
        <rFont val="Arial"/>
        <color rgb="FF000000"/>
        <sz val="12.0"/>
      </rPr>
      <t>, 50Mbps network camera recording, Plug &amp; play by 8 PoE ports, ARB (Automatic Recovery Backup), 1 fixed internal SATA HDD (6TB max), HDMI local monitor, SUNAPI, ONVIF, Easy configuration (Setup Wizard, P2P), 1TB Seagate SKyHawk HDD included (ST1000VX005)</t>
    </r>
  </si>
  <si>
    <t>LRN-810S-2TB-S</t>
  </si>
  <si>
    <t>8CH PoE NVR - 2TB HDD</t>
  </si>
  <si>
    <r>
      <rPr>
        <rFont val="Arial"/>
        <color rgb="FF000000"/>
        <sz val="12.0"/>
      </rPr>
      <t xml:space="preserve">8CH 5MP NVR, 8CH @5MP each, triple codec H.265/H.264/MJPEG, </t>
    </r>
    <r>
      <rPr>
        <rFont val="Arial"/>
        <b/>
        <color rgb="FF000000"/>
        <sz val="12.0"/>
      </rPr>
      <t>Dual track recording</t>
    </r>
    <r>
      <rPr>
        <rFont val="Arial"/>
        <color rgb="FF000000"/>
        <sz val="12.0"/>
      </rPr>
      <t>, 50Mbps network camera recording, Plug &amp; play by 8 PoE ports, ARB (Automatic Recovery Backup), 1 fixed internal SATA HDD (6TB max), HDMI local monitor, SUNAPI, ONVIF, Easy configuration (Setup Wizard, P2P), 2TB Seagate SKyHawk HDD included (ST2000VX008)</t>
    </r>
  </si>
  <si>
    <t>LRN-810S-4TB-S</t>
  </si>
  <si>
    <r>
      <rPr>
        <rFont val="Arial"/>
        <color rgb="FF000000"/>
        <sz val="12.0"/>
      </rPr>
      <t xml:space="preserve">8CH 5MP NVR, 8CH @5MP each, triple codec H.265/H.264/MJPEG, </t>
    </r>
    <r>
      <rPr>
        <rFont val="Arial"/>
        <b/>
        <color rgb="FF000000"/>
        <sz val="12.0"/>
      </rPr>
      <t>Dual track recording</t>
    </r>
    <r>
      <rPr>
        <rFont val="Arial"/>
        <color rgb="FF000000"/>
        <sz val="12.0"/>
      </rPr>
      <t>, 50Mbps network camera recording, Plug &amp; play by 8 PoE ports, ARB (Automatic Recovery Backup), 1 fixed internal SATA HDD (6TB max), HDMI local monitor, SUNAPI, ONVIF, Easy configuration (Setup Wizard, P2P), 4TB Seagate SKyHawk HDD included (ST4000VX007)</t>
    </r>
  </si>
  <si>
    <t>PND-9080R</t>
  </si>
  <si>
    <t>4K IR Indoor Dome</t>
  </si>
  <si>
    <t>Wisenet P</t>
  </si>
  <si>
    <t>Wisenet P network 4K IR indoor dome camera, 12MP @20fps, 4.5~10mm motorized varifocal lens (2.2x), triple codec H.265/H.264/MJPEG with WiseStream, Multiple streaming, 120dB WDR, Auto Day &amp; Night (ICR), IR viewable length 30m, Motion detection, Defocus detection, Tampering, Hallway View, Motion detection, Digital auto tracking, Bi-directional audio and SD/SDHC/SDXC slot, IK08, PoE/12VDC</t>
  </si>
  <si>
    <t>X series powered by Wisenet 7 network indoor vandal dome camera, Modular structure X PLUS, 4K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IP52, IK10, PoE/12VDC</t>
  </si>
  <si>
    <t>PNF-9010R</t>
  </si>
  <si>
    <t>4K IR Indoor Vandal Fisheye</t>
  </si>
  <si>
    <t>Wisenet P network 4K IR indoor fisheye dome camera, 12MP @20fps, 2.1mm fixed lens, simple focus, triple codec H.265/H.264/MJPEG with WiseStream, Multiple streaming, 120dB WDR, True Day &amp; Night (ICR), IR viewable length 15m, built-in Video Analytics, People counting, Heatmap, PTZ Handover,  VariableView Mode, On Board Dewarping, Digital PTZ (16x), Bi-directional audio and SD/SDHC/SDXC slot, Built-in mic, PoE/12VDC</t>
  </si>
  <si>
    <t>PNF-9010RV</t>
  </si>
  <si>
    <t>4K IR Outdoor Vandal Fisheye</t>
  </si>
  <si>
    <t>Wisenet P network 4K IR indoor fisheye vandal dome camera, 12MP @20fps, 2.1mm fixed lens, simple focus, triple codec H.265/H.264/MJPEG with WiseStream, Multiple streaming, 120dB WDR, True Day &amp; Night (ICR), IR viewable length 15m, built-in Video Analytics, People counting, Heatmap, PTZ Handover,  VariableView Mode, On Board Dewarping, Digital PTZ (16x), Bi-directional audio and SD/SDHC/SDXC slot, Built-in mic, IP66/IK10, PoE/12VDC</t>
  </si>
  <si>
    <t>PNF-9010RVM</t>
  </si>
  <si>
    <t>4K IR Mobile Vandal Fisheye</t>
  </si>
  <si>
    <t>Wisenet P network 4K IR indoor fisheye vandal dome camera, 12MP @20fps, 2.1mm fixed lens, simple focus, triple codec H.265/H.264/MJPEG with WiseStream, Multiple streaming, 120dB WDR, True Day &amp; Night (ICR), IR viewable length 15m, built-in Video Analytics, People counting, Heatmap, PTZ Handover,  VariableView Mode, On Board Dewarping, Digital PTZ (16x), Bi-directional audio and SD/SDHC/SDXC slot, Built-in mic, IP66/IK10, PoE/12VDC, M12 Connector</t>
  </si>
  <si>
    <t>PNM-7000VD</t>
  </si>
  <si>
    <t>2MP Dual Lens Multi-sensor</t>
  </si>
  <si>
    <t>2x 2MP</t>
  </si>
  <si>
    <t>Wisenet P network Multi-sensor Multi-Directional Outdoor Vandal dome camera, 4MP @ 60fps, exchangable 2x 2MP lens modules (2.4mm, 2.8mm, 3.6mm and 6mm fixed), triple codec H.265/H.264/MJPEG with WiseStream II, Multiple streaming, 150dB WDR, Day &amp; Night, Intelligent Video Analytics, Hallway View, Motion detection, Fog detection, HLC, Digital Image Stabilization, dual microSD/SDHC/SDXC slot, ONVIF S, IP66, IK10, PoE
Lens modules (sold separately): SLA-2M2400D (2.4mm), SLA-2M2800D (2.8mm), SLA-2M3600D (3.6mm), SLA-2M6000D (6mm)</t>
  </si>
  <si>
    <t>PNM-7002VD</t>
  </si>
  <si>
    <t>Wisenet P network Multi-sensor Multi-Directional Outdoor Vandal dome camera, 4MP @ 60fps, exchangable 2x 2MP lens modules (2.4mm, 2.8mm, 3.6mm and 6mm fixed), triple codec H.265/H.264/MJPEG with WiseStream II, Multiple streaming, 150DB WDR, Day &amp; Night, Intelligent Video Analytics, Hallway View, Motion detection, Fog detection, HLC, Digital Image Stabilization, dual microSD/SDHC/SDXC slot, ONVIF S, IP66, IK10, PoE
Lens modules (sold separately): SLA-2M2402D (2.4mm), SLA-2M2802D (2.8mm), SLA-2M3602D (3.6mm), SLA-2M6002D (6mm)</t>
  </si>
  <si>
    <t>PNM-9000VD</t>
  </si>
  <si>
    <t>5MP Dual Lens Multi-sensor</t>
  </si>
  <si>
    <t>10MP</t>
  </si>
  <si>
    <t>Wisenet P network Multi-sensor Multi-Directional Outdoor Vandal dome camera, 10MP @ 30fps, exchangable 2x 5MP lens modules (3.7mm, 4.6mm and 7mm fixed), triple codec H.265/H.264/MJPEG with WiseStream II, Multiple streaming, 120dB WDR, Day &amp; Night, Intelligent Video Analytics, Hallway View, Motion detection, Fog detection, HLC, Digital Image Stabilization, dual microSD/SDHC/SDXC slot, ONVIF S/G, IP66, IK10, PoE
Lens modules (sold separately): SLA-5M3700D (3.7mm), SLA-5M4600D (4.6mm), SLA-5M7000D (7.0mm)</t>
  </si>
  <si>
    <t>PNM-9000VQ</t>
  </si>
  <si>
    <t>Quad Lens Multi-sensor Outdoor Vandal Dome</t>
  </si>
  <si>
    <t>4x 2MP / 5MP</t>
  </si>
  <si>
    <t>Wisenet P network outdoor Multi-sensor Multi-Directional dome camera, 4 sensors x 2MP/5MP, 8MP ~20MP (2MP @ 60fps or 5MP @30fps),  4  fixed lense modules, triple codec H.265/H.264/MJPEG with WiseStream II, Multiple streaming, 150dB WDR @2MP or 120dB WDR @5MP, Auto Day &amp; Night (ICR), Advanced Video Analytics, Motion detection, Hallway view, Fog detection, HLC, Digital Image Stabilization, 4x SD/SDHC/SDXC slot, IP66, IK10, PoE+
2MP Lens modules (sold separately): SLA-2M2400Q (2.4mm), SLA-2M2800Q (2.8mm), SLA-2M3600Q (3.6mm), SLA-2M6000Q (6mm)
5MP Lens modules (sold separately): SLA-5M3700Q (3.7mm), SLA-5M4600Q (4.6mm), SLA-5M7000Q (7.0mm)</t>
  </si>
  <si>
    <t>PNM-9002VQ</t>
  </si>
  <si>
    <t>P series network outdoor Multi-sensor Multi-Directional dome camera, 4 sensors x 2MP/5MP, 8MP ~20MP (2MP @ 60fps or 5MP @30fps),  4  fixed lense modules, triple codec H.265/H.264/MJPEG with WiseStream II, Multiple streaming, 150dB WDR @2MP or 120dB WDR @5MP, Auto Day &amp; Night (ICR), Advanced Video Analytics, Motion detection, Hallway view, Fog detection, HLC, Digital Image Stabilization, 4x SD/SDHC/SDXC slot, IP66, IK10, PoE+
2MP Lens modules (sold separately): SLA-2M2400Q (2.4mm), SLA-2M2800Q (2.8mm), SLA-2M3600Q (3.6mm), SLA-2M6000Q (6mm)
5MP Lens modules (sold separately): SLA-5M3700Q (3.7mm), SLA-5M4600Q (4.6mm), SLA-5M7000Q (7.0mm)</t>
  </si>
  <si>
    <t>PNM-9020V</t>
  </si>
  <si>
    <t>7.3MP Panoramic Outdoor Vandal Dome</t>
  </si>
  <si>
    <t>7.3MP</t>
  </si>
  <si>
    <t>Wisenet P network outdoor Multi-sensor Panoramic dome camera, 4 sensors x 2MP, 180º panoramic view, max 7.3MP @30fps, 3.6mm fixed lens (180°), triple codec H.265/H.264/MJPEG with WiseStream, Multiple streaming, Auto Day &amp; Night (ICR), Advanced Video Analytics, Motion detection, Sound classification, Hand over to PTZ, Digital auto tracking, Heatmap, Bi-directional audio and SD/SDHC/SDXC slot, IP66, IK10, PoE+</t>
  </si>
  <si>
    <t>PNM-9022V</t>
  </si>
  <si>
    <t>P series powered by Wisenet 7 network outdoor Multi-sensor Panoramic dome camera, 4 sensors x 2MP, 180º panoramic view, max 7.3MP @30fps, 3.6mm fixed lens (180°), triple codec H.265/H.264/MJPEG with WiseStream, Multiple streaming, 120dB WDR, Auto Day &amp; Night (ICR), Advanced Video Analytics, Motion detection, Sound classification, Hand over to PTZ, Digital auto tracking, Heatmap, Bi-directional audio and SD/SDHC/SDXC slot, IP66, IK10, PoE+</t>
  </si>
  <si>
    <t>PNM-9030V</t>
  </si>
  <si>
    <t>15MP Panoramic Outdoor Vandal Dome</t>
  </si>
  <si>
    <t>Wisenet P network outdoor Multi-sensor Panoramic dome camera, 4 sensors x 5MP, 180º / 220º  panoramic stitching, max 15MP @30fps, 4mm fixed lens (180°), triple codec H.265/H.264/MJPEG with WiseStream II, Multiple streaming, 120dB WDR, Auto Day &amp; Night (ICR), Advanced Video Analytics, Motion detection, Handover to PTZ, Sound classification, Heatmap, LDC (Lens Distortion Correction), Bi-directional audio and dual SD/SDHC/SDXC slot, IP66, IK10, PoE+</t>
  </si>
  <si>
    <t>PNM-9080VQ</t>
  </si>
  <si>
    <t>4x 2MP Outdoor Dome</t>
  </si>
  <si>
    <t>Wisenet P network outdoor Multi-sensor Multi-Directional dome camera, 4 sensors x 2MP, max 8MP @60fps,  4  x 2.8 ~ 12mm motorized varifocal lenses (4.3x), triple codec H.265/H.264/MJPEG with WiseStream II, Multiple streaming, WDR 150dB, Auto Day &amp; Night (ICR), Advanced Video Analytics, Motion detection, Hallway view, Fog detection, HLC, Digital Image Stabilization with built-in Gyro sensor, 4x SD/SDHC/SDXC slot, IP66, IK10, PoE+/12VDC</t>
  </si>
  <si>
    <t>No direct replacement, use XND-9082RF/RV</t>
  </si>
  <si>
    <t>PNM-9081VQ</t>
  </si>
  <si>
    <t>4x 5MP Outdoor Dome</t>
  </si>
  <si>
    <t>Wisenet P network outdoor Multi-sensor Multi-Directional dome camera, 4 sensors x 5MP, max 20MP @30fps,  4  x 3.6 ~ 9.4mm motorized varifocal lenses (2.6x), triple codec H.265/H.264/MJPEG with WiseStream II, Multiple streaming, 120dB WDR, Auto Day &amp; Night (ICR), Advanced Video Analytics, Motion detection, Hallway view, Fog detection, HLC, Digital Image Stabilization with built-in Gyro sensor, 4x SD/SDHC/SDXC slot, IP66, IK10, HPoE (Power adaptor is included)/12VDC</t>
  </si>
  <si>
    <t>PNM-A9084RVQ                           
PNM-9084RVQ</t>
  </si>
  <si>
    <t>PNM-A9084RVQ
4CH 6MP Multi-directional, AI Object detection/IVA, IR, PoE+
PNM-9084RVQ
4CH 6MP Multi-directional, IVA, IR, PoE+</t>
  </si>
  <si>
    <t>PNM-9084QZ</t>
  </si>
  <si>
    <t>4x 2MP Outdoor PTRZ Dome</t>
  </si>
  <si>
    <t>Wisenet P network outdoor Multi-sensor Multi-Directional PTRZ dome camera, 4 sensors x 2MP, max 8MP @60fps,  4  x 3 ~ 6mm motorized varifocal lenses (2x), triple codec H.265/H.264/MJPEG with WiseStream II, Multiple streaming, WDR 120dB, Auto Day &amp; Night (ICR), Advanced Video Analytics, Motion detection, Hallway view, Fog detection, HLC, Digital Image Stabilization, 4x SD/SDHC/SDXC slot, IP66, IK10, NEMA4X, HPoE</t>
  </si>
  <si>
    <t>P series network outdoor Multi-sensor Multi-Directional PTRZ dome camera with Digital Image Stabilization, 4 sensors x 2MP, max 8MP @60fps,  4  x 3 ~ 6mm motorized varifocal lenses (2x), triple codec H.265/H.264/MJPEG with WiseStream II, Multiple streaming, WDR 120dB, Auto Day &amp; Night (ICR), Advanced Video Analytics, Motion detection, Hallway view, Fog detection, HLC, Digital Image Stabilization, 4x SD/SDHC/SDXC slot, IP66, IK10, NEMA4X, HPoE Only. NOTE: HPoE Injector must be purchased separately, please refer to SPO-6011</t>
  </si>
  <si>
    <t>PNM-9084RQZ</t>
  </si>
  <si>
    <t>4x 2MP Outdoor IR PTRZ Dome</t>
  </si>
  <si>
    <t>Wisenet P network outdoor Multi-sensor Multi-Directional IR PTRZ dome camera, 4 sensors x 2MP, max 8MP @60fps,  4  x 3.2 ~ 10mm motorized varifocal lenses (3.1x),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t>
  </si>
  <si>
    <t>PNM-9085RQZ</t>
  </si>
  <si>
    <t>4x 5MP Outdoor IR PTRZ Dome</t>
  </si>
  <si>
    <t>Wisenet P network outdoor Multi-sensor Multi-Directional IR PTRZ dome camera, 4 sensors x 5MP, max 8MP @30fps,  4  x 4.13 ~ 9.4mm motorized varifocal lenses (2.3x), triple codec H.265/H.264/MJPEG with WiseStream II, Multiple streaming, WDR 120dB, Auto Day &amp; Night (ICR), IR viewable length 30m, Advanced Video Analytics and Sound Classification, Motion detection, Hallway view, Fog detection, HLC, Digital Image Stabilization, 4x SD/SDHC/SDXC slot, IP66, IK10, NEMA4X, HPoE/12VDC</t>
  </si>
  <si>
    <t>PNM-9320VQP</t>
  </si>
  <si>
    <t>4x 2MP / 5MP + 2MP</t>
  </si>
  <si>
    <t>Wisenet P network outdoor Multi-sensor Multi-Directional PTZ camera, 4 sensors x 2MP/5MP and 2MP PTZ module, 8MP ~20MP (2MP @ 60fps or 5MP @30fps),  4  fixed lense modules and 4.44~142.6mm (Optical 32x) lens, triple codec H.265/H.264/MJPEG with WiseStream II, Multiple streaming, 150dB WDR @2MP or 120dB WDR @5MP, Auto Day &amp; Night (ICR), Advanced Video Analytics, Motion detection, Hallway view, Fog detection, HLC, Digital Image Stabilization with built-in Gyro sensor, 5x SD/SDHC/SDXC slot, IP66, IK10, HPoE (Power adaptor is included)
2MP Lens modules (sold separately): SLA-2M2400P (2.4mm), SLA-2M2800P (2.8mm), SLA-2M3600P (3.6mm), SLA-2M6000P (6mm), SLA-2M1200P (12mm)
5MP Lens modules (sold separately): SLA-5M3700P (3.7mm), SLA-5M4600P (4.6mm), SLA-5M7000P (7.0mm)</t>
  </si>
  <si>
    <t>P series network outdoor Multi-sensor Multi-Directional PTZ camera, 4 sensors x 2MP/5MP and 2MP PTZ module, 10MP ~22MP (2MP @ 60fps or 5MP @30fps),  4  fixed lense modules and 4.44~142.6mm (Optical 32x) lens, triple codec H.265/H.264/MJPEG with WiseStream II, Multiple streaming, 150dB WDR @2MP or 120dB WDR @5MP, Auto Day &amp; Night (ICR), Advanced Video Analytics, Motion detection, Hallway view, Fog detection, HLC, Digital Image Stabilization with built-in Gyro sensor, 5x Micro SD/SDHC/SDXC slot, IP66, IK10, HPoE (Power adaptor is included)
2MP Lens modules (sold separately): SLA-2M2400P (2.4mm), SLA-2M2800P (2.8mm), SLA-2M3600P (3.6mm), SLA-2M6000P (6mm), SLA-2M1200P (12mm)
5MP Lens modules (sold separately): SLA-5M3700P (3.7mm), SLA-5M4600P (4.6mm), SLA-5M7000P (7.0mm)</t>
  </si>
  <si>
    <t>PNO-9080R</t>
  </si>
  <si>
    <t>4K IR Bullet</t>
  </si>
  <si>
    <t>Wisenet P network 4K IR outdoor vandal bullet camera, 12MP @20fps, 4.5~10mm motorized varifocal lens (2.2x), triple codec H.265/H.264/MJPEG with WiseStream, Multiple streaming, 120dB WDR, True Day &amp; Night (ICR), IR viewable length 40m, Motion detection, Defocus detection, Tampering, Hallway view, Digital auto tracking, Bi-directional audio and SD/SDHC/SDXC slot, IP66/IK10, PoE/12VDC/24VAC</t>
  </si>
  <si>
    <t>PNP-9200RH</t>
  </si>
  <si>
    <t>4K IR 20x Zoom PTZ</t>
  </si>
  <si>
    <t>Wisenet P network 4K IR outdoor PTZ camera, 8MP @30fps, 20X Optical Zoom Lens (4.8 ~ 96mm) (65.1º ~ 3.8º), 360° Endless Pan range, 400°/sec Pan speed, triple codec H.265/H.264/MJPEG with WiseStream, Multiple streaming, 120dB WDR, True Day &amp; Night (ICR), IR viewable length 200m, Intelligent Video Analytics, Motion detection, Fog detection, Tampering, Auto-tracking, Mechanical anti-vibration, Bi-directional audio and SD/SDHC/SDXC slot, IP66, IK10, 24VAC</t>
  </si>
  <si>
    <t>X series powered by Wisenet 7 network IR outdoor PTZ camera with built-in wiper, 4K @30fps, 30X Optical Zoom Lens (5 ~ 150mm) (57.42º ~ 2.19º), 360° Endless Pan range, 500°/sec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HPoE
* Alarm outputs, Audio detection, Sound classification(with NW I/O Box which can be purchased separately)</t>
  </si>
  <si>
    <t>PNV-9080R</t>
  </si>
  <si>
    <t>4K IR Outdoor Vandal Dome</t>
  </si>
  <si>
    <t>Wisenet P network 4K IR outdoor vandal dome camera, 12MP @20fps, 4.5~10mm motorized varifocal lens (2.2x), triple codec H.265/H.264/MJPEG with WiseStream, Multiple streaming, 120dB WDR, Auto Day &amp; Night (ICR), IR viewable length 40m, Motion detection, Defocus detection, Tampering, Hallway View, Motion detection, Digital auto tracking, Bi-directional audio and SD/SDHC/SDXC slot, IP67/IP66/IK10, PoE/12VDC/24VAC</t>
  </si>
  <si>
    <t>X series powered by Wisenet 7 network outdoor vandal dome camera, Modular structure X PLUS, 4K @30fps, 2.8~8.4mm motorized varifocal lens (3x), triple codec H.265/H.264/MJPEG with WiseStream II, Multiple streaming, extreme WDR (120dB), Auto Day &amp; Night (ICR), IR viewable length 40m,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IP66/IP67/IP6K9K, IK10+, NEMA4X, PoE/12VDC</t>
  </si>
  <si>
    <t>PRN-4011</t>
  </si>
  <si>
    <t>64CH 4K 400Mbps H.265 NVR</t>
  </si>
  <si>
    <t>64CH 4K NVR, 64CH @12MP each, triple codec H.265/H.264/MJPEG with WiseStream, 400Mbps network camera recording / 32Mbps playback throughput, ARB (Automatic Recovery Backup) &amp; Failover (N+1), up to 12 hot swap SATA HDD (96TB max), iSCSI storage, RAID-5, HDMI, VGA local dual monitor, SUNAPI, ONVIF, Easy configuration (Setup Wizard, P2P), no HDD included</t>
  </si>
  <si>
    <t>XRN-6410B4</t>
  </si>
  <si>
    <t>X series 64CH 32MP NVR, triple codec H.265/H.264/MJPEG compression, 400Mbps network camera recording / 64Mbps playback throughput, ARB (Automatic Recovery Backup) &amp; Failover (N+1), up to 16 SATA HDD (160TB max), iSCSI storage, RAID-5/6 support, HDMI local dual monitor, SUNAPI, ONVIF, Easy configuration (P2P), AI search support when working with Wisenet AI camera, No HDD included</t>
  </si>
  <si>
    <t>PRN-4011-2TB</t>
  </si>
  <si>
    <t>64CH 4K 400Mbps H.265 NVR - 2TB HDD</t>
  </si>
  <si>
    <t>64CH 4K NVR, 64CH @12MP each, triple codec H.265/H.264/MJPEG with WiseStream, 400Mbps network camera recording / 32Mbps playback throughput, ARB (Automatic Recovery Backup) &amp; Failover (N+1), up to 12 hot swap SATA HDD (96TB max), iSCSI storage, RAID-5, HDMI, VGA local dual monitor, SUNAPI, ONVIF, Easy configuration (Setup Wizard, P2P), 2TB HDD included</t>
  </si>
  <si>
    <t>QNB-6000</t>
  </si>
  <si>
    <t>Wisenet Q</t>
  </si>
  <si>
    <t>Wisenet Q network box camera, 2MP @25fps, Manual / DC Auto Iris, triple codec H.265/H.264/MJPEG with WiseStream, Multiple streaming, Off/BLC/WDR, Auto Day &amp; Night (ICR),Motion detection, Tampering, Defocus detection, Hallway View, bi-directional audio and microSD/SDHC/SDXC slot, LDC support (Lens Distortion Correction), PoE/12VDC</t>
  </si>
  <si>
    <t>QNB-6002</t>
  </si>
  <si>
    <t>Q series network box camera, 2MP @30fps, triple codec H.265/H.264/MJPEG with WiseStream II, Multiple streaming, 120dB WDR, True Day &amp; Night (ICR), Advanced Video Analytics, Hallway View, Motion detection, Tampering, Defocus detection, Bi-directional audio and dual SD/SDHC/SDXC slot, LDC support (Lens Distortion Correction), PoE/12VDC     ※ The lens is not included</t>
  </si>
  <si>
    <t>QNB-7000</t>
  </si>
  <si>
    <t>4MP Box</t>
  </si>
  <si>
    <t>Wisenet Q network box camera, 4MP @25fps, Manual / DC Auto Iris, triple codec H.265/H.264/MJPEG with WiseStream, Multiple streaming, Off/BLC/WDR, Auto Day &amp; Night (ICR),Motion detection, Tampering, Defocus detection, Hallway View, bi-directional audio and microSD/SDHC/SDXC slot, LDC support (Lens Distortion Correction), PoE/12VDC</t>
  </si>
  <si>
    <t>QNB-8002</t>
  </si>
  <si>
    <t>Q series network box camera, 5MP @30fps, triple codec H.265/H.264/MJPEG with WiseStream II, Multiple streaming, 120dB WDR, True Day &amp; Night (ICR), Advanced Video Analytics, Hallway View, Motion detection, Tampering, Defocus detection, Bi-directional audio and dual SD/SDHC/SDXC slot, LDC support (Lens Distortion Correction), PoE/12VDC     ※ The lens is not included</t>
  </si>
  <si>
    <t>QND-6010R</t>
  </si>
  <si>
    <t>Wisenet Q network IR indoor dome camera, 2MP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PoE/12VDC</t>
  </si>
  <si>
    <t>QND-6020R</t>
  </si>
  <si>
    <t>Wisenet Q network IR indoor dome camera, 2MP @30fps, 3.6mm fixed lens (86.48°), triple codec H.265/H.264/MJPEG with WiseStream, Multiple streaming, 120dB WDR, True Day &amp; Night (ICR), IR viewable length 20m, Motion detection, Tampering, Defocus detection, Hallway View, 1-way audio and microSD/SDHC/SDXC slot, LDC support (Lens Distortion Correction), PoE/12VDC</t>
  </si>
  <si>
    <t>QND-6030R</t>
  </si>
  <si>
    <t>Wisenet Q network IR indoor dome camera, 2MP @30fps, 6mm fixed lens (52.54°), triple codec H.265/H.264/MJPEG with WiseStream, Multiple streaming, 120dB WDR, True Day &amp; Night (ICR), IR viewable length 20m, Motion detection, Tampering, Defocus detection, Hallway View, 1-way audio and microSD/SDHC/SDXC slot, LDC support (Lens Distortion Correction), PoE/12VDC</t>
  </si>
  <si>
    <t>QND-6032R</t>
  </si>
  <si>
    <t>Wisenet Q network IR indoor dome camera, 2MP @30fps, 6mm fixed lens (52.8°), triple codec H.265/H.264/MJPEG with WiseStream, Multiple streaming, 120dB WDR, True Day &amp; Night (ICR), IR viewable length 20m, Motion detection, Tampering, Defocus detection, Hallway View, 1-way audio and microSD/SDHC/SDXC slot, LDC support (Lens Distortion Correction), PoE/12VDC</t>
  </si>
  <si>
    <t>QND-6032R1</t>
  </si>
  <si>
    <t>Wisenet Q network IR indoor dome camera (No Audio), 2MP @30fps, 6mm fixed lens, H.265/H.264/ MJPEG, Multiple streaming, 120dB WDR, Day &amp; Night (auto ICR), IR viewable length 20m, Motion detection, Tampering, Defocus detection, Hallway View(90°/270°), microSD/SDHC /SDXC slot, LDC support (Lens Distortion Correction), PoE/12VDC</t>
  </si>
  <si>
    <t>QND-6070R</t>
  </si>
  <si>
    <t>Wisenet Q network IR indoor dome camera, 2MP @30fps, 2.8 ~ 12.0mm manual vari-focal lens (4.3x) (103.8°~32.4°), triple codec H.265/H.264/MJPEG with WiseStream, Multiple streaming, 120dB WDR, True Day &amp; Night (ICR), IR viewable length 20m, Motion detection, Tampering, Defocus detection, Hallway View, 1-way audio and microSD/SDHC/SDXC slot, LDC support (Lens Distortion Correction), PoE/12VDC</t>
  </si>
  <si>
    <t>QND-7010R</t>
  </si>
  <si>
    <t>Wisenet Q network IR indoor dome camera, 4MP @20fps, 2.8mm fixed lens (110°), triple codec H.265/H.264/MJPEG with WiseStream, Multiple streaming, 120dB WDR, True Day &amp; Night (ICR), IR viewable length 20m, Motion detection, Tampering, Defocus detection, Hallway View, 1-way audio and microSD/SDHC/SDXC slot, LDC support (Lens Distortion Correction), PoE/12VDC</t>
  </si>
  <si>
    <t>QND-7020R</t>
  </si>
  <si>
    <t>QND-7030R</t>
  </si>
  <si>
    <t>Wisenet Q network IR indoor dome camera, 4MP @20fps, 6mm fixed lens (53°), triple codec H.265/H.264/MJPEG with WiseStream, Multiple streaming, 120dB WDR, True Day &amp; Night (ICR), IR viewable length 20m, Motion detection, Tampering, Defocus detection, Hallway View, 1-way audio and microSD/SDHC/SDXC slot, LDC support (Lens Distortion Correction), PoE/12VDC</t>
  </si>
  <si>
    <t>QND-7080R</t>
  </si>
  <si>
    <t>Wisenet Q network IR indoor dome camera, 4MP @20fps, 2.8 ~ 12.0mm motorized vari-focal lens (4.3x) (109.7°~26°), triple codec H.265/H.264/MJPEG with WiseStream, Multiple streaming, 120dB WDR, True Day &amp; Night (ICR), IR viewable length 20m, Motion detection, Tampering, Defocus detection, Hallway View, 1-way audio and microSD/SDHC/SDXC slot, LDC support (Lens Distortion Correction), PoE/12VDC</t>
  </si>
  <si>
    <t>QND-8030R</t>
  </si>
  <si>
    <t>Wisenet Q network IR indoor dome camera, 5MP @30fps, 6.0mm fixed lens (49.4°), triple codec H.265/H.264/MJPEG with WiseStream II, Multiple streaming, 120dB WDR, Auto Day &amp; Night (ICR), IR viewable length 20m, Advanced Video Analytics, Hallway View, Motion detection, LDC (Lens Distortion Correction), SD/SDHC/SDXC slot, CVBS for easy installation, PoE</t>
  </si>
  <si>
    <t>QNE-6080RV</t>
  </si>
  <si>
    <t>2MP Flateye</t>
  </si>
  <si>
    <t>Wisenet Q network IR outdoor vandal flateye camera, 2MP @30fps, 3.2 ~ 10.0mm motorized vari-focal lens (3.1x) (104.2°~31.2°),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</si>
  <si>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QNE-7080RV</t>
  </si>
  <si>
    <t>4MP Flateye</t>
  </si>
  <si>
    <t>Wisenet Q network IR outdoor vandal flateye camera, 4MP @20fps, 3.2 ~ 10.0mm motorized vari-focal lens (3.1x) (100.0°~30.5°),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</si>
  <si>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QNE-80XX</t>
  </si>
  <si>
    <t>Wisenet Q network IR outdoor vandal flateye camera, 5MP @30fps, 4.0mm fixed lens (80.1°), triple codec H.265/H.264/MJPEG with WiseStream II, Multiple streaming, 120dB WDR, Auto Day &amp; Night (ICR), IR viewable length 20m, Advanced Video Analytics, Motion detection, Tampering, Defocus detection, Hallway View, microSD/SDHC/SDXC slot, LDC support (Lens Distortion Correction), IP67, IK10, PoE</t>
  </si>
  <si>
    <t>QNO-6010R</t>
  </si>
  <si>
    <t>Wisenet Q network IR outdoor vandal bullet camera, 2MP @30fps, 2.8mm fixed lens (116°),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</si>
  <si>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QNO-6020R</t>
  </si>
  <si>
    <t>Wisenet Q network IR outdoor vandal bullet camera, 2MP @30fps, 3.6mm fixed lens (86.48°),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</si>
  <si>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QNO-6030R</t>
  </si>
  <si>
    <t>Wisenet Q network IR outdoor vandal bullet camera, 2MP @30fps, 6mm fixed lens (52.54°),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</si>
  <si>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QNO-6032R</t>
  </si>
  <si>
    <t>Wisenet Q network IR outdoor vandal bullet camera, 2MP @30fps, 6mm fixed lens (52.8°),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</si>
  <si>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QNO-6032R1</t>
  </si>
  <si>
    <t>Wisenet Q network IR outdoor vandal bullet camera  (No Audio), 2MP @30fps, 6mm fixed lens, triple codec H.265/H.264/MJPEG with WiseStream, Multiple streaming, 120dB WDR, True Day &amp; Night (ICR), IR viewable length 30m, Motion detection, Tampering, Defocus detection, Hallway View (90°/270°), micro SD/SDHC/SDXC slot, LDC support (Lens Distortion Correction), IP66, IK10, PoE/12VDC</t>
  </si>
  <si>
    <t>QNO-6070R</t>
  </si>
  <si>
    <t>Wisenet Q network IR outdoor vandal bullet camera, 2MP @30fps, 2.8 ~ 12.0mm manual vari-focal lens (4.3x) (103.8°~32.4°),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</si>
  <si>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QNO-7010R</t>
  </si>
  <si>
    <t>Wisenet Q network IR outdoor vandal bullet camera, 4MP @20fps, 2.8mm fixed lens (110°),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</si>
  <si>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QNO-7020R</t>
  </si>
  <si>
    <t>Wisenet Q network IR outdoor vandal bullet camera, 4MP @20fps,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</si>
  <si>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QNO-7030R</t>
  </si>
  <si>
    <t>Wisenet Q network IR outdoor vandal bullet camera, 4MP @20fps, 6mm fixed lens (53°), triple codec H.265/H.264/MJPEG with WiseStream, Multiple streaming, 120dB WDR, True Day &amp; Night (ICR), IR viewable length 30m, Motion detection, Tampering, Defocus detection, Hallway View, 1-way audio and microSD/SDHC/SDXC slot, LDC support (Lens Distortion Correction), IP66, IK10, PoE/12VD</t>
  </si>
  <si>
    <t>QNO-7080R</t>
  </si>
  <si>
    <t>Wisenet Q network IR outdoor vandal bullet camera, 4MP @20fps, 2.8 ~ 12.0mm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</si>
  <si>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QNO-8030R</t>
  </si>
  <si>
    <t>Wisenet Q network IR outdoor vandal bullet camera, 5MP @30fps, 6.0mm fixed lens (49.4°), triple codec H.265/H.264/MJPEG with WiseStream II, Multiple streaming, 120dB WDR, Auto Day &amp; Night (ICR), IR viewable length 30m, Advanced Video Analytics, Hallway View, Motion detection, LDC (Lens Distortion Correction), Bi-directional audio and SD/SDHC/SDXC slot, CVBS for easy installation, IP66, IK10, PoE</t>
  </si>
  <si>
    <t>QNP-6230</t>
  </si>
  <si>
    <t>2MP 23x PTZ</t>
  </si>
  <si>
    <t>Wisenet Q network indoor PTZ camera, 2MP @30fps, Full HD(1080p), 23X Optical Zoom Lens (4.44 ~ 102.2mm) (61.8º ~ 3.08º), 360° Endless Pan range, 500°/sec Pan speed, triple codec H.265/H.264/MJPEG with WiseStream II,  Multiple streaming, 120dB WDR, True Day &amp; Night (ICR), Motion detection, Tampering, Defocus detection, Digital Image Stabilization with Built-in Gyro sensor, Bi-directional audio and SD/SDHC/SDXC slot, PoE+/24VAC</t>
  </si>
  <si>
    <t>QNP-6230H</t>
  </si>
  <si>
    <t>Wisenet Q network outdoor PTZ camera, 2MP @30fps, Full HD(1080p), 23X Optical Zoom Lens (4.44 ~ 102.2mm), 360° Endless Pan range, 500°/sec Pan speed, triple codec H.265/H.264/MJPEG with WiseStream II,  Multiple streaming, 120dB WDR, True Day &amp; Night (ICR), Motion detection, Tampering, Defocus detection,  Digital Image Stabilization with Built-in Gyro sensor, Bi-directional audio and SD/SDHC/SDXC slot, IP66, IK10, Heater on -50°C 24VAC, PoE+/24VAC</t>
  </si>
  <si>
    <t>QNP-6230RH</t>
  </si>
  <si>
    <t>2MP 23x IR Outdoor PTZ</t>
  </si>
  <si>
    <t>Wisenet Q network IR outdoor PTZ camera, 2MP @30fps, 23X Optical Zoom Lens (4.44 ~ 102.2mm) (61.8º ~ 3.08º), 360° Endless Pan range, 400°/sec Pan speed, Tilt: -5° ~ 90°, triple codec H.265/H.264/MJPEG with WiseStream II, Multiple streaming, 120dB WDR, True Day &amp; Night (ICR), IR viewable length 100m,Motion detection, Tampering, Defocus detection,  Digital Image Stabilization with Built-in Gyro sensor, Bi-directional audio and dual SD/SDHC/SDXC slot, IP66, IK10, HPoE/24VAC</t>
  </si>
  <si>
    <t>QNV-6010R</t>
  </si>
  <si>
    <t>Wisenet Q network IR outdoor vandal dome camera, 2MP @30fps, 2.8mm fixed lens (110°),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</si>
  <si>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QNV-6020R</t>
  </si>
  <si>
    <t>Wisenet Q network outdoor vandal dome camera, 2MP @30fps, 3.6mm fixed lens (86.48°),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</si>
  <si>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QNV-6030R</t>
  </si>
  <si>
    <t>Wisenet Q network outdoor vandal dome camera, 2MP @30fps, 6mm fixed lens (52.54°),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</si>
  <si>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QNV-6032R</t>
  </si>
  <si>
    <t>Wisenet Q network outdoor vandal dome camera, 2MP @30fps, 6mm fixed lens (52.8°),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</si>
  <si>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QNV-6032R1</t>
  </si>
  <si>
    <t>Wisenet Q network outdoor vandal dome camera (No Audio), 2MP @30fps, 6mm fixed lens,  H.265/ H.264/MJPEG, Multiple streaming, 120dB WDR, Day &amp; Night (auto ICR), IR viewable length 30m, Motion detection, Tampering, Defocus detection, Hallway View  (90°/270°),  micro SD/SDHC/SDXC slot, LDC support (Lens Distortion Correction), IP66, IK10, PoE/12VDC</t>
  </si>
  <si>
    <t>QNV-6070R</t>
  </si>
  <si>
    <t>Wisenet Q network IR outdoor vandal dome camera, 2MP @30fps, 2.8 ~ 12.0mm manual vari-focal lens (4.3x) (103.8°~32.4°),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</si>
  <si>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QNV-7010R</t>
  </si>
  <si>
    <t>Wisenet Q network IR outdoor vandal dome camera, 4MP @20fps, 2.8mm fixed lens (110°), triple codec H.265/H.264/MJPEG with WiseStream, Multiple streaming, 120dB WDR, True Day &amp; Night (ICR), IR viewable length 20m, Motion detection, Tampering, Defocus detection, Hallway View, 1-way audio and microSD/SDHC/SDXC slot, LDC support (Lens Distortion Correction), IP66, IK10, PoE/12VDC</t>
  </si>
  <si>
    <t>QNV-7020R</t>
  </si>
  <si>
    <t>Wisenet Q network IR outdoor vandal dome camera, 4MP @20fps,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</si>
  <si>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QNV-7030R</t>
  </si>
  <si>
    <t>Wisenet Q network IR outdoor vandal dome camera, 4MP @20fps, 6mm fixed lens (53°),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</si>
  <si>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QNV-7080R</t>
  </si>
  <si>
    <t>Wisenet Q network IR outdoor vandal dome camera, 4MP @20fps, 2.8 ~ 12.0mm motorized vari-focal lens (4.3x) (109.7°~26°), triple codec H.265/H.264/MJPEG with WiseStream, Multiple streaming, 120dB WDR, True Day &amp; Night (ICR), IR viewable length 30m, Motion detection, Tampering, Defocus detection, Hallway View, 1-way audio and microSD/SDHC/SDXC slot, LDC support (Lens Distortion Correction), IP66, IK10, PoE/12VDC</t>
  </si>
  <si>
    <t>QNV-8030R</t>
  </si>
  <si>
    <t>Wisenet Q network IR outdoor vandal dome camera, 5MP @30fps, 6.0mm fixed lens (49.4°), triple codec H.265/H.264/MJPEG with WiseStream II, Multiple streaming, 120dB WDR, Auto Day &amp; Night (ICR), IR viewable length 30m, Advanced Video Analytics, Hallway View, Motion detection, LDC (Lens Distortion Correction), Bi-directional audio and SD/SDHC/SDXC slot, CVBS for easy installation, IP66, IK10, PoE</t>
  </si>
  <si>
    <t>QRN-1610S</t>
  </si>
  <si>
    <t>16CH 8MP NVR, 16CH @8MP each, triple codec H.265/H.264/MJPEG, 128Mbps network camera recording, Plug &amp; play by 16 PoE ports, ARB (Automatic Recovery Backup), 2 fixed internal SATA HDD (12TB max), HDMI, VGA local monitor, SUNAPI, ONVIF, Easy configuration (Setup Wizard, P2P), no HDD included</t>
  </si>
  <si>
    <t>QRN-1620S</t>
  </si>
  <si>
    <t>QRN-1610S-1TB</t>
  </si>
  <si>
    <t>16CH PoE NVR - 1TB HDD</t>
  </si>
  <si>
    <t>16CH 8MP NVR, 16CH @8MP each, triple codec H.265/H.264/MJPEG, 128Mbps network camera recording, Plug &amp; play by 16 PoE ports, ARB (Automatic Recovery Backup), 2 fixed internal SATA HDD (12TB max), HDMI, VGA local monitor, SUNAPI, ONVIF, Easy configuration (Setup Wizard, P2P), 1TB HDD included</t>
  </si>
  <si>
    <t>QRN-1620S-2TB-S</t>
  </si>
  <si>
    <r>
      <rPr>
        <rFont val="Arial"/>
        <color rgb="FF000000"/>
        <sz val="12.0"/>
      </rPr>
      <t xml:space="preserve">16CH 8MP NVR, 16CH @8MP each, triple codec H.265/H.264/MJPEG with WiseStream technology, </t>
    </r>
    <r>
      <rPr>
        <rFont val="Arial"/>
        <b/>
        <color rgb="FF000000"/>
        <sz val="12.0"/>
      </rPr>
      <t>Dual track recording</t>
    </r>
    <r>
      <rPr>
        <rFont val="Arial"/>
        <color rgb="FF000000"/>
        <sz val="12.0"/>
      </rPr>
      <t xml:space="preserve">, 128Mbps network camera recording, Plug &amp; play by 16 PoE ports, ARB (Automatic Recovery Backup), 2 fixed internal SATA HDD (12TB max), </t>
    </r>
    <r>
      <rPr>
        <rFont val="Arial"/>
        <b/>
        <color rgb="FF000000"/>
        <sz val="12.0"/>
      </rPr>
      <t xml:space="preserve">Dual monitor </t>
    </r>
    <r>
      <rPr>
        <rFont val="Arial"/>
        <color rgb="FF000000"/>
        <sz val="12.0"/>
      </rPr>
      <t>HDMI &amp; VGA output, SUNAPI, ONVIF, Easy configuration (Setup Wizard, P2P), no HDD included</t>
    </r>
  </si>
  <si>
    <t>Q series 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No HDD included</t>
  </si>
  <si>
    <r>
      <rPr>
        <rFont val="Arial"/>
        <color rgb="FF000000"/>
        <sz val="12.0"/>
      </rPr>
      <t xml:space="preserve">16CH 8MP NVR, 16CH @8MP each, triple codec H.265/H.264/MJPEG with WiseStream technology, </t>
    </r>
    <r>
      <rPr>
        <rFont val="Arial"/>
        <b/>
        <color rgb="FF000000"/>
        <sz val="12.0"/>
      </rPr>
      <t>Dual track recording</t>
    </r>
    <r>
      <rPr>
        <rFont val="Arial"/>
        <color rgb="FF000000"/>
        <sz val="12.0"/>
      </rPr>
      <t xml:space="preserve">, 128Mbps network camera recording, Plug &amp; play by 16 PoE ports, ARB (Automatic Recovery Backup), 2 fixed internal SATA HDD (12TB max), </t>
    </r>
    <r>
      <rPr>
        <rFont val="Arial"/>
        <b/>
        <color rgb="FF000000"/>
        <sz val="12.0"/>
      </rPr>
      <t>Dual monitor</t>
    </r>
    <r>
      <rPr>
        <rFont val="Arial"/>
        <color rgb="FF000000"/>
        <sz val="12.0"/>
      </rPr>
      <t xml:space="preserve"> HDMI &amp; VGA output, SUNAPI, ONVIF, Easy configuration (Setup Wizard, P2P), 2TB Seagate SKyHawk HDD included (ST2000VX008)</t>
    </r>
  </si>
  <si>
    <t>QRN-1630S-2TB-S</t>
  </si>
  <si>
    <t>Replacement should be available from September 2022</t>
  </si>
  <si>
    <t>QRN-1620S-4TB-S</t>
  </si>
  <si>
    <r>
      <rPr>
        <rFont val="Arial"/>
        <color rgb="FF000000"/>
        <sz val="12.0"/>
      </rPr>
      <t xml:space="preserve">16CH 8MP NVR, 16CH @8MP each, triple codec H.265/H.264/MJPEG with WiseStream technology, </t>
    </r>
    <r>
      <rPr>
        <rFont val="Arial"/>
        <b/>
        <color rgb="FF000000"/>
        <sz val="12.0"/>
      </rPr>
      <t>Dual track recording</t>
    </r>
    <r>
      <rPr>
        <rFont val="Arial"/>
        <color rgb="FF000000"/>
        <sz val="12.0"/>
      </rPr>
      <t xml:space="preserve">, 128Mbps network camera recording, Plug &amp; play by 16 PoE ports, ARB (Automatic Recovery Backup), 2 fixed internal SATA HDD (12TB max), </t>
    </r>
    <r>
      <rPr>
        <rFont val="Arial"/>
        <b/>
        <color rgb="FF000000"/>
        <sz val="12.0"/>
      </rPr>
      <t>Dual monitor</t>
    </r>
    <r>
      <rPr>
        <rFont val="Arial"/>
        <color rgb="FF000000"/>
        <sz val="12.0"/>
      </rPr>
      <t xml:space="preserve"> HDMI &amp; VGA output, SUNAPI, ONVIF, Easy configuration (Setup Wizard, P2P), 4TB Seagate SKyHawk HDD included (ST4000VX007)</t>
    </r>
  </si>
  <si>
    <t>QRN-1620S-8TB-S</t>
  </si>
  <si>
    <r>
      <rPr>
        <rFont val="Arial"/>
        <color rgb="FF000000"/>
        <sz val="12.0"/>
      </rPr>
      <t xml:space="preserve">16CH 8MP NVR, 16CH @8MP each, triple codec H.265/H.264/MJPEG with WiseStream technology, </t>
    </r>
    <r>
      <rPr>
        <rFont val="Arial"/>
        <b/>
        <color rgb="FF000000"/>
        <sz val="12.0"/>
      </rPr>
      <t>Dual track recording</t>
    </r>
    <r>
      <rPr>
        <rFont val="Arial"/>
        <color rgb="FF000000"/>
        <sz val="12.0"/>
      </rPr>
      <t xml:space="preserve">, 128Mbps network camera recording, Plug &amp; play by 16 PoE ports, ARB (Automatic Recovery Backup), 2 fixed internal SATA HDD (12TB max), </t>
    </r>
    <r>
      <rPr>
        <rFont val="Arial"/>
        <b/>
        <color rgb="FF000000"/>
        <sz val="12.0"/>
      </rPr>
      <t>Dual monitor</t>
    </r>
    <r>
      <rPr>
        <rFont val="Arial"/>
        <color rgb="FF000000"/>
        <sz val="12.0"/>
      </rPr>
      <t xml:space="preserve"> HDMI &amp; VGA output, SUNAPI, ONVIF, Easy configuration (Setup Wizard, P2P), 2x 4TB Seagate SKyHawk HDD included (ST4000VX007)</t>
    </r>
  </si>
  <si>
    <t>QRN-1630S-8TB-S</t>
  </si>
  <si>
    <t>QRN-410</t>
  </si>
  <si>
    <t>4CH NVR</t>
  </si>
  <si>
    <t>4CH 4K NVR, 4CH @8MP each, triple codec H.265/H.264/MJPEG with WiseStream, 50Mbps network camera recording, ARB (Automatic Recovery Backup), 1 fixed internal SATA HDD (6TB max), HDMI, VGA local monitor, SUNAPI, ONVIF, Easy configuration (Setup Wizard, P2P), no HDD included</t>
  </si>
  <si>
    <t>QRN-420S</t>
  </si>
  <si>
    <t>4CH 8MP NVR, 4CH @8MP each, triple codec H.265/H.264/MJPEG with WiseStream technology, Dual track recording, 40Mbps network camera recording, Plug &amp; play by 4 PoE ports, ARB (Automatic Recovery Backup), 1 fixed internal SATA HDD (6TB max), HDMI local monitor, SUNAPI, ONVIF, Easy configuration (Setup Wizard, P2P), no HDD included</t>
  </si>
  <si>
    <t>QRN-410-1TB</t>
  </si>
  <si>
    <t>4CH NVR - 1TB HDD</t>
  </si>
  <si>
    <t>4CH 4K NVR, 4CH @8MP each, triple codec H.265/H.264/MJPEG with WiseStream, 50Mbps network camera recording, ARB (Automatic Recovery Backup), 1 fixed internal SATA HDD (6TB max), HDMI, VGA local monitor, SUNAPI, ONVIF, Easy configuration (Setup Wizard, P2P), 1TB HDD included</t>
  </si>
  <si>
    <t>QRN-420S-1TB</t>
  </si>
  <si>
    <t>4CH 8MP NVR, 4CH @8MP each, triple codec H.265/H.264/MJPEG with WiseStream technology, Dual track recording, 40Mbps network camera recording, Plug &amp; play by 4 PoE ports, ARB (Automatic Recovery Backup), 1 fixed internal SATA HDD (6TB max), HDMI local monitor, SUNAPI, ONVIF, Easy configuration (Setup Wizard, P2P), 1TB Seagate SKyHawk HDD included (ST1000VX005)</t>
  </si>
  <si>
    <t>QRN-410S</t>
  </si>
  <si>
    <t>4CH 8MP NVR, 4CH @8MP each, triple codec H.265/H.264/MJPEG with WiseStream, 40Mbps network camera recording, Plug &amp; play by 4 PoE ports, ARB (Automatic Recovery Backup), 1 fixed internal SATA HDD (6TB max), HDMI local monitor, SUNAPI, ONVIF, Easy configuration (Setup Wizard, P2P), no HDD included</t>
  </si>
  <si>
    <t>QRN-410S-1TB</t>
  </si>
  <si>
    <t>4CH 8MP NVR, 4CH @8MP each, triple codec H.265/H.264/MJPEG with WiseStream, 40Mbps network camera recording, Plug &amp; play by 4 PoE ports, ARB (Automatic Recovery Backup), 1 fixed internal SATA HDD (6TB max), HDMI local monitor, SUNAPI, ONVIF, Easy configuration (Setup Wizard, P2P), 1TB HDD included</t>
  </si>
  <si>
    <t>QRN-420S-1TB-S</t>
  </si>
  <si>
    <r>
      <rPr>
        <rFont val="Arial"/>
        <color rgb="FF000000"/>
        <sz val="12.0"/>
      </rPr>
      <t xml:space="preserve">4CH 8MP NVR, 4CH @8MP each, triple codec H.265/H.264/MJPEG with WiseStream technology, </t>
    </r>
    <r>
      <rPr>
        <rFont val="Arial"/>
        <b/>
        <color rgb="FF000000"/>
        <sz val="12.0"/>
      </rPr>
      <t>Dual track recording,</t>
    </r>
    <r>
      <rPr>
        <rFont val="Arial"/>
        <color rgb="FF000000"/>
        <sz val="12.0"/>
      </rPr>
      <t xml:space="preserve"> 40Mbps network camera recording, Plug &amp; play by 4 PoE ports, ARB (Automatic Recovery Backup), 1 fixed internal SATA HDD (6TB max), HDMI local monitor, SUNAPI, ONVIF, Easy configuration (Setup Wizard, P2P), no HDD included</t>
    </r>
  </si>
  <si>
    <t>Q series 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No HDD included</t>
  </si>
  <si>
    <r>
      <rPr>
        <rFont val="Arial"/>
        <color rgb="FF000000"/>
        <sz val="12.0"/>
      </rPr>
      <t xml:space="preserve">4CH 8MP NVR, 4CH @8MP each, triple codec H.265/H.264/MJPEG with WiseStream technology, </t>
    </r>
    <r>
      <rPr>
        <rFont val="Arial"/>
        <b/>
        <color rgb="FF000000"/>
        <sz val="12.0"/>
      </rPr>
      <t>Dual track recording</t>
    </r>
    <r>
      <rPr>
        <rFont val="Arial"/>
        <color rgb="FF000000"/>
        <sz val="12.0"/>
      </rPr>
      <t>, 40Mbps network camera recording, Plug &amp; play by 4 PoE ports, ARB (Automatic Recovery Backup), 1 fixed internal SATA HDD (6TB max), HDMI local monitor, SUNAPI, ONVIF, Easy configuration (Setup Wizard, P2P), 1TB Seagate SKyHawk HDD included (ST1000VX005)</t>
    </r>
  </si>
  <si>
    <t>QRN-430S-2TB-S</t>
  </si>
  <si>
    <t>QRN-420S-2TB-S</t>
  </si>
  <si>
    <r>
      <rPr>
        <rFont val="Arial"/>
        <color rgb="FF000000"/>
        <sz val="12.0"/>
      </rPr>
      <t xml:space="preserve">4CH 8MP NVR, 4CH @8MP each, triple codec H.265/H.264/MJPEG with WiseStream technology, </t>
    </r>
    <r>
      <rPr>
        <rFont val="Arial"/>
        <b/>
        <color rgb="FF000000"/>
        <sz val="12.0"/>
      </rPr>
      <t>Dual track recording</t>
    </r>
    <r>
      <rPr>
        <rFont val="Arial"/>
        <color rgb="FF000000"/>
        <sz val="12.0"/>
      </rPr>
      <t>, 40Mbps network camera recording, Plug &amp; play by 4 PoE ports, ARB (Automatic Recovery Backup), 1 fixed internal SATA HDD (6TB max), HDMI local monitor, SUNAPI, ONVIF, Easy configuration (Setup Wizard, P2P), 2TB Seagate SKyHawk HDD included (ST2000VX008)</t>
    </r>
  </si>
  <si>
    <t>QRN-420S-4TB-S</t>
  </si>
  <si>
    <r>
      <rPr>
        <rFont val="Arial"/>
        <color rgb="FF000000"/>
        <sz val="12.0"/>
      </rPr>
      <t xml:space="preserve">4CH 8MP NVR, 4CH @8MP each, triple codec H.265/H.264/MJPEG with WiseStream technology, </t>
    </r>
    <r>
      <rPr>
        <rFont val="Arial"/>
        <b/>
        <color rgb="FF000000"/>
        <sz val="12.0"/>
      </rPr>
      <t>Dual track recording</t>
    </r>
    <r>
      <rPr>
        <rFont val="Arial"/>
        <color rgb="FF000000"/>
        <sz val="12.0"/>
      </rPr>
      <t>, 40Mbps network camera recording, Plug &amp; play by 4 PoE ports, ARB (Automatic Recovery Backup), 1 fixed internal SATA HDD (6TB max), HDMI local monitor, SUNAPI, ONVIF, Easy configuration (Setup Wizard, P2P), 4TB Seagate SKyHawk HDD included (ST4000VX007)</t>
    </r>
  </si>
  <si>
    <t>QRN-810</t>
  </si>
  <si>
    <t>8CH NVR</t>
  </si>
  <si>
    <t>8CH 8MP NVR, 8CH @8MP each, triple codec H.265/H.264/MJPEG with WiseStream, 100Mbps network camera recording, ARB (Automatic Recovery Backup), 1 fixed internal SATA HDD (6TB max), HDMI, VGA local monitor, SUNAPI, ONVIF, Easy configuration (Setup Wizard, P2P), no HDD included</t>
  </si>
  <si>
    <t>Q series 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No HDD included</t>
  </si>
  <si>
    <t>QRN-810-1TB</t>
  </si>
  <si>
    <t>8CH NVR - 1TB HDD</t>
  </si>
  <si>
    <t>8CH 8MP NVR, 8CH @8MP each, triple codec H.265/H.264/MJPEG with WiseStream, 100Mbps network camera recording, ARB (Automatic Recovery Backup), 1 fixed internal SATA HDD (6TB max), HDMI, VGA local monitor, SUNAPI, ONVIF, Easy configuration (Setup Wizard, P2P), 1TB HDD included</t>
  </si>
  <si>
    <t>QRN-830S-2TB-S</t>
  </si>
  <si>
    <t>QRN-810S</t>
  </si>
  <si>
    <t>8CH 8MP NVR, 8CH @8MP each, triple codec H.265/H.264/MJPEG with WiseStream, 80Mbps network camera recording, Plug &amp; play by 8 PoE ports, ARB (Automatic Recovery Backup), 1 fixed internal SATA HDD (6TB max), HDMI local monitor, SUNAPI, ONVIF, Easy configuration (Setup Wizard, P2P), no HDD included</t>
  </si>
  <si>
    <t>QRN-810S-1TB</t>
  </si>
  <si>
    <t>8CH 4K NVR, 8CH @8MP each, triple codec H.265/H.264/MJPEG with WiseStream, 80Mbps network camera recording, Plug &amp; play by 8 PoE ports, ARB (Automatic Recovery Backup), 1 fixed internal SATA HDD (6TB max), HDMI local monitor, SUNAPI, ONVIF, Easy configuration (Setup Wizard, P2P), 1TB HDD included</t>
  </si>
  <si>
    <t>QRN-820S</t>
  </si>
  <si>
    <r>
      <rPr>
        <rFont val="Arial"/>
        <color rgb="FF000000"/>
        <sz val="12.0"/>
      </rPr>
      <t xml:space="preserve">8CH 8MP NVR, 8CH @8MP each, triple codec H.265/H.264/MJPEG with WiseStream technology, </t>
    </r>
    <r>
      <rPr>
        <rFont val="Arial"/>
        <b/>
        <color rgb="FF000000"/>
        <sz val="12.0"/>
      </rPr>
      <t>Dual track recording</t>
    </r>
    <r>
      <rPr>
        <rFont val="Arial"/>
        <color rgb="FF000000"/>
        <sz val="12.0"/>
      </rPr>
      <t>, 80Mbps network camera recording, Plug &amp; play by 8 PoE ports, ARB (Automatic Recovery Backup), 1 fixed internal SATA HDD (6TB max), HDMI local monitor, SUNAPI, ONVIF, Easy configuration (Setup Wizard, P2P), no HDD included</t>
    </r>
  </si>
  <si>
    <t>QRN-820S-1TB-S</t>
  </si>
  <si>
    <r>
      <rPr>
        <rFont val="Arial"/>
        <color rgb="FF000000"/>
        <sz val="12.0"/>
      </rPr>
      <t xml:space="preserve">8CH 8MP NVR, 8CH @8MP each, triple codec H.265/H.264/MJPEG with WiseStream technology, </t>
    </r>
    <r>
      <rPr>
        <rFont val="Arial"/>
        <b/>
        <color rgb="FF000000"/>
        <sz val="12.0"/>
      </rPr>
      <t>Dual track recording</t>
    </r>
    <r>
      <rPr>
        <rFont val="Arial"/>
        <color rgb="FF000000"/>
        <sz val="12.0"/>
      </rPr>
      <t>, 80Mbps network camera recording, Plug &amp; play by 8 PoE ports, ARB (Automatic Recovery Backup), 1 fixed internal SATA HDD (6TB max), HDMI local monitor, SUNAPI, ONVIF, Easy configuration (Setup Wizard, P2P), 1TB Seagate SKyHawk HDD included (ST1000VX005)</t>
    </r>
  </si>
  <si>
    <t>QRN-820S-2TB-S</t>
  </si>
  <si>
    <r>
      <rPr>
        <rFont val="Arial"/>
        <color rgb="FF000000"/>
        <sz val="12.0"/>
      </rPr>
      <t xml:space="preserve">8CH 8MP NVR, 8CH @8MP each, triple codec H.265/H.264/MJPEG with WiseStream technology, </t>
    </r>
    <r>
      <rPr>
        <rFont val="Arial"/>
        <b/>
        <color rgb="FF000000"/>
        <sz val="12.0"/>
      </rPr>
      <t>Dual track recording</t>
    </r>
    <r>
      <rPr>
        <rFont val="Arial"/>
        <color rgb="FF000000"/>
        <sz val="12.0"/>
      </rPr>
      <t>, 80Mbps network camera recording, Plug &amp; play by 8 PoE ports, ARB (Automatic Recovery Backup), 1 fixed internal SATA HDD (6TB max), HDMI local monitor, SUNAPI, ONVIF, Easy configuration (Setup Wizard, P2P), 2TB Seagate SKyHawk HDD included (ST2000VX008)</t>
    </r>
  </si>
  <si>
    <t>QRN-820S-4TB-S</t>
  </si>
  <si>
    <r>
      <rPr>
        <rFont val="Arial"/>
        <color rgb="FF000000"/>
        <sz val="12.0"/>
      </rPr>
      <t xml:space="preserve">8CH 8MP NVR, 8CH @8MP each, triple codec H.265/H.264/MJPEG with WiseStream technology, </t>
    </r>
    <r>
      <rPr>
        <rFont val="Arial"/>
        <b/>
        <color rgb="FF000000"/>
        <sz val="12.0"/>
      </rPr>
      <t>Dual track recording,</t>
    </r>
    <r>
      <rPr>
        <rFont val="Arial"/>
        <color rgb="FF000000"/>
        <sz val="12.0"/>
      </rPr>
      <t xml:space="preserve"> 80Mbps network camera recording, Plug &amp; play by 8 PoE ports, ARB (Automatic Recovery Backup), 1 fixed internal SATA HDD (6TB max), HDMI local monitor, SUNAPI, ONVIF, Easy configuration (Setup Wizard, P2P), 4TB Seagate SKyHawk HDD included (ST4000VX007)</t>
    </r>
  </si>
  <si>
    <t>S27F350FHU</t>
  </si>
  <si>
    <t>27" LED Monitor</t>
  </si>
  <si>
    <t>27" LED Monitor, 1080p (1920x1080), HDMI, VGA, Freesync, 16:9 aspect ratio, Response time 4ms, VESA 75x75 Compatible</t>
  </si>
  <si>
    <t>LS27R350FHUX</t>
  </si>
  <si>
    <t>Storage - SD card</t>
  </si>
  <si>
    <t>SAMSUNG-MB-MC128GA</t>
  </si>
  <si>
    <t>micorSD card 128GB</t>
  </si>
  <si>
    <t>Samsung EVO Plus microSDHC card 128GB</t>
  </si>
  <si>
    <t>SAMSUNG-MB-MC128HA</t>
  </si>
  <si>
    <t>SAMSUNG-MB-MC256GA</t>
  </si>
  <si>
    <t>micorSD card 256GB</t>
  </si>
  <si>
    <t>Samsung EVO Plus microSDHC card 256GB</t>
  </si>
  <si>
    <t>SAMSUNG-MB-MC256HA</t>
  </si>
  <si>
    <t>SAMSUNG-MB-MC32GA</t>
  </si>
  <si>
    <t>micorSD card 32GB</t>
  </si>
  <si>
    <t xml:space="preserve">Samsung EVO Plus microSDHC card 32GB </t>
  </si>
  <si>
    <t>SAMSUNG-MB-MC512GA</t>
  </si>
  <si>
    <t>micorSD card 512GB</t>
  </si>
  <si>
    <t>Samsung EVO Plus microSDHC card 512GB</t>
  </si>
  <si>
    <t>SAMSUNG-MB-MC512HA</t>
  </si>
  <si>
    <t>SAMSUNG-MB-MC64GA</t>
  </si>
  <si>
    <t>micorSD card 64GB</t>
  </si>
  <si>
    <t>Samsung EVO Plus microSDHC card 64GB</t>
  </si>
  <si>
    <t>SAMSUNG-MB-MC64HA</t>
  </si>
  <si>
    <t>SAMSUNG-MB-MJ64KA</t>
  </si>
  <si>
    <t>Samsung PRO Endurance microSDHC card 64GB</t>
  </si>
  <si>
    <t>SAMSUNG-MB-MJ32GA</t>
  </si>
  <si>
    <t>microSD card PRO Endurance 32GB</t>
  </si>
  <si>
    <t>Samsung PRO Endurance microSDHC card 32GB</t>
  </si>
  <si>
    <t>SAMSUNG-MB-MJ32KA</t>
  </si>
  <si>
    <t>SAMSUNG-MB-MJ64GA</t>
  </si>
  <si>
    <t>microSD card PRO Endurance 64GB</t>
  </si>
  <si>
    <t>SAMSUNG-MB-MJ128GA</t>
  </si>
  <si>
    <t>microSD card PRO Endurance 128GB</t>
  </si>
  <si>
    <t>Samsung PRO Endurance microSDHC card 128GB</t>
  </si>
  <si>
    <t>SAMSUNG-MB-MJ128KA</t>
  </si>
  <si>
    <t>SBC-140C</t>
  </si>
  <si>
    <t>Stainless Steel Cover</t>
  </si>
  <si>
    <t>Brushed Stainless steel cover for Indoor corner mount camera TNV-8010C</t>
  </si>
  <si>
    <t>SBC-170C, 170CW, SBC-170CB</t>
  </si>
  <si>
    <t>SBE-100CM</t>
  </si>
  <si>
    <t xml:space="preserve">Corner Mount for Explosion-proof Camera, Compatible with TNU-6320E/TNO-6320E, Stainless Steel </t>
  </si>
  <si>
    <t>SBM-4040</t>
  </si>
  <si>
    <t>Monitor Stand Compatible with SMT-4033</t>
  </si>
  <si>
    <t>SBP-300KM</t>
  </si>
  <si>
    <t>Corner Mount Adapter compatible with SBP-300WM, Ivory</t>
  </si>
  <si>
    <t>SBP-300KMW</t>
  </si>
  <si>
    <t>Corner Mount Adapter compatible with SBP-300WMW, White</t>
  </si>
  <si>
    <t>SBP-300PM</t>
  </si>
  <si>
    <t>Pole Mount Adaptor, aluminium, ivory</t>
  </si>
  <si>
    <t>SBP-300PMW</t>
  </si>
  <si>
    <t>Poler Mount Adaptor, aluminium, white</t>
  </si>
  <si>
    <t>SBP-300PMW1</t>
  </si>
  <si>
    <t>Pole Mount Adaptor, aluminium, QNV-6012R1/6022R1/6032R1/6082R1,QND-6012R1/6022R1/6032R1/6082R1 white</t>
  </si>
  <si>
    <t>SBP-301HF</t>
  </si>
  <si>
    <t>Aluminum Built-in Sfps Install Base for PTZ Cameras SNP-6321H/5321H/SNP-L6233H/L5233H,  RJ-45 to Fiber</t>
  </si>
  <si>
    <t>SBP-301HM2</t>
  </si>
  <si>
    <t>Aluminum Hanging Mount for Dome cameras. Compatible with XNP-6040H, QNV-7080R/6070R, HCV-6070R/6080R, SCV-6083R/6023R/5082/5083/5083R/6080/3083/3082/3081/2082R/2081R, SCV-2081, SCD-6080, SND-7084/7084R/7082/6084/6084R/6083/5084/5084R/5083/5080/3082, SNV-1080/1080R/L6083R/L5083R,  Ivory</t>
  </si>
  <si>
    <t>SBP-302HF</t>
  </si>
  <si>
    <t>Aluminum Built-in Sfps Install Base for PTZ Cameras PNP-9200RH and XNP-6370RH,  RJ-45 to Fiber</t>
  </si>
  <si>
    <t>SBP-317HM</t>
  </si>
  <si>
    <t>Aluminum Indoor Hanging Mount for Multi-Directional cameras. Compatible with PNM-9080VQ/9081VQ, Ivory</t>
  </si>
  <si>
    <t>SBP-329HM</t>
  </si>
  <si>
    <t>Aluminum Outdoor Hanging Mount for Multi-Directional cameras. Compatible with PNM-9080VQ/9081VQ, Ivory</t>
  </si>
  <si>
    <t>SBP-390WM</t>
  </si>
  <si>
    <t>SHB-4300H2</t>
  </si>
  <si>
    <t>SHB-4300HP</t>
  </si>
  <si>
    <t>Outdoor Fixed Camera Housing w/Mounting Bracket, Compatible with all box cameras, Built-in defroster/heater and fan, IP66, PoE, Ivory</t>
  </si>
  <si>
    <t>SLA-2M2402D</t>
  </si>
  <si>
    <t>PNM-7002VD Lens module</t>
  </si>
  <si>
    <t>1/2.8" 2MP CMOS with a 2.4mm fixed lens module  for PNM-7002VD, FoV: H: 135.4˚, V: 71.2˚, 0.055Lux@F2.0 (Color, B/W), WDR (150dB), Electrical Day&amp;Night</t>
  </si>
  <si>
    <t>SLA-2M2802D</t>
  </si>
  <si>
    <t>1/2.8" 2MP CMOS with a 2.8mm fixed lens module for PNM-7002VD, FoV: H: 107.4˚, V: 62.2˚, 0.055Lux@F2.0 (Color, B/W), WDR (150dB), Electrical Day&amp;Night</t>
  </si>
  <si>
    <t>SLA-2M3602D</t>
  </si>
  <si>
    <t>1/2.8" 2MP CMOS with a 3.6mm fixed lens module for PNM-7002VD, FoV: H: 94.8˚, V: 49.3˚, 0.055Lux@F2.0 (Color, B/W), WDR (150dB), Electrical Day&amp;Night</t>
  </si>
  <si>
    <t>SLA-2M6002D</t>
  </si>
  <si>
    <t>1/2.8" 2MP CMOS with a 6.0mm fixed lens module for PNM-7002VD, FoV: H: 50.4˚, V: 28.8˚, 0.055Lux@F2.0 (Color, B/W), WDR (150dB), Electrical Day&amp;Night</t>
  </si>
  <si>
    <t>SLA-3580DN</t>
  </si>
  <si>
    <t>1/3" CS-mount Auto Iris Lens</t>
  </si>
  <si>
    <t xml:space="preserve">Lens, 1/3", Max. resolution 3MP, Vari-focal (3.5-8.0mm), Auto Iris, CS-Mount </t>
  </si>
  <si>
    <t>SLA-550DV</t>
  </si>
  <si>
    <t xml:space="preserve">Lens, 1/3", Vari-focal (5-50.0mm), Auto Iris, CS-Mount </t>
  </si>
  <si>
    <t>SLA-5M3700D</t>
  </si>
  <si>
    <t>PNM-9000VD Lens module</t>
  </si>
  <si>
    <t>1/1.8" 5MP CMOS with a 3.7mm fixed lens module for PNM-9000VD, FoV: H: 97.5˚, V: 71.9˚, 0.16Lux@F1.6 (Color, B/W), WDR (120dB), Electrical Day&amp;Night</t>
  </si>
  <si>
    <t>SLA-5M4600D</t>
  </si>
  <si>
    <t>1/1.8" 5MP CMOS with a 4.6mm fixed lens module for PNM-9000VD, FoV: H: 77.9˚, V: 57.9˚, 0.16Lux@F1.6 (Color, B/W), WDR (120dB), Electrical Day&amp;Night</t>
  </si>
  <si>
    <t>SLA-5M7000D</t>
  </si>
  <si>
    <t>1/1.8" 5MP CMOS with a 7.0mm fixed lens module for PNM-9000VD, FoV: H: 50.7˚, V: 37.8˚, 0.16Lux@F1.6 (Color, B/W), WDR (120dB), Electrical Day&amp;Night</t>
  </si>
  <si>
    <t>SMT-1931</t>
  </si>
  <si>
    <t>19" Wide LED Monitor, up to 1,366 x 768 resolution,  HDMI, VGA, BNC, Contrast ratio 1,000 : 1, Response time 5ms, Built-in Speaker (2X1W), VESA DPM Compatible</t>
  </si>
  <si>
    <t>SMT-2233</t>
  </si>
  <si>
    <t>1080P 22" LED monitor</t>
  </si>
  <si>
    <t>22" LED Monitor, 1080p (1920x1080), HDMI, VGA, BNC, 16:9 aspect ratio, Contrast ratio 1,000 : 1, Response time 5ms, Built-in Speaker (2W), Tempered Glass, VESA DPM Compatible</t>
  </si>
  <si>
    <t>SMT-3233</t>
  </si>
  <si>
    <t>1080p 32" LED Monitor</t>
  </si>
  <si>
    <t>32" LED Monitor, 1080p (1920x1080), DVI, HDMI, VGA, CVBS, 16:9 aspect ratio, Contrast ratio 1,200 : 1, Response time 8ms, Built-in Speaker (2W X 2), VESA DPM Compatible (100x100mm), compatible with SBM-3232 stand (can be purchased separately)</t>
  </si>
  <si>
    <t>SMT-3234</t>
  </si>
  <si>
    <t>32" FHD LED Monitor, 1080p (1920x1080), DVI, HDMI, VGA, CVBS, 16:9 aspect ratio, Contrast ratio 1,200 : 1, Response time 8ms, Built-in Speaker (2W X 2), VESA DPM Compatible (100x100mm), compatible with SBM-3232 stand (can be purchased separately)</t>
  </si>
  <si>
    <t>SMT-4033</t>
  </si>
  <si>
    <t>1080p 40" LED Monitor</t>
  </si>
  <si>
    <t>40" LED Monitor, 1080p (1920x1080), DVI, HDMI, VGA, CVBS, 16:9 aspect ratio, Contrast ratio 5,000 : 1, Response time 9.5ms, Built-in Speaker (2W X 2), VESA DPM Compatible (100x100mm), compatible with SBM-4040 stand (can be purchased separately)</t>
  </si>
  <si>
    <t>SMT-4343</t>
  </si>
  <si>
    <t>43" UHD LED Monitor, 4K UHD (3840 x 2160), HDMI, DP, 16:9 aspect ratio, Contrast ratio 1,000 : 1, Response time 8ms, Panel life 30,000 hrs, Audio connector, VESA DPM Compatible (100x100mm, 400x200mm), Designed and tested on 24/7 operation, compatible with SBM-4343 stand (Stand can be purchased separately)</t>
  </si>
  <si>
    <t>SNB-9000</t>
  </si>
  <si>
    <t>12M 4K Box</t>
  </si>
  <si>
    <t>Wisenet network box camera, 12MP @20fps, simple focus, H.264/MJPEG dual codec, Multiple streaming, True Day &amp; Night (ICR), Advanced Video Analytics, Motion detection, HLC, Bi-directional audio and SD/SDHC/SDXC slot, PoE/12VDC/24VAC</t>
  </si>
  <si>
    <t>X series powered by Wisenet 7 network box camera, 4K @30fps, triple codec H.265/H.264/MJPEG with WiseStream II, Multiple streaming, extremeWDR, Auto Day &amp; Night (ICR),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PoE/12VDC/24VAC     ※ The lens is not included</t>
  </si>
  <si>
    <t>SNO-6011R/PTL</t>
  </si>
  <si>
    <t>Pernixia - Time Lapse</t>
  </si>
  <si>
    <t>SNO-6095RH</t>
  </si>
  <si>
    <t>2MP IR LPR</t>
  </si>
  <si>
    <t>Wisenet III</t>
  </si>
  <si>
    <t>• Max. 2M (1920 x 1080) resolution
• 0.03Lux@F1.2 (Color), 0Lux@F1.2 (B/W : IR LED on)
• 3 ~ 10.5mm (3.5x) motorized varifocal lens
• H.264, MJPEG dual codec, Multiple streaming
• WDR (120dB), Simple focus (Motorized varifocal lens), Defog
• Audio / Face / Motion detection
• micro SD/SDHC/SDXC memory slot (4GB included)
• Multi-crop streaming
• IR LED (20ea), PoE, UPnP, IP66, IK10, Bi-directional audio support</t>
  </si>
  <si>
    <t>SNP-6230RH</t>
  </si>
  <si>
    <t>Wisenet Network PTZ camera, 2MP, Full HD(1080p) 30fps, H.264/MJPEG, Optical Zoom Lens 23x (4.44-102.1mm), 120dB WDR, Day &amp; Night (ICR), 500°/sec Pan, SD/SDHC/SDXC, 24VAC/PoE+, Analytics</t>
  </si>
  <si>
    <t>SNP-6320</t>
  </si>
  <si>
    <t>Network PTZ camera, 2MP, Full HD(1080p) 60fps, H.264/MJPEG, Optical Zoom Lens 32x (4.44-142.6mm), 120dB WDR, Day &amp; Night (ICR), HLC, auto tracking, 700°/sec Pan, SD/SDHC/SDXC, 24VAC/PoE, Analytics</t>
  </si>
  <si>
    <t>XNP-6320</t>
  </si>
  <si>
    <t>Wisenet X powered by Wisenet 5 network indoor PTZ camera, 2MP @ 60fps, Full HD(1080p), 32X optical zoom lens (4.44mm ~142.6mm) (61.8º ~ 2.19º), 360° Endless Pan range, 700°/sec Pan speed, Tilt: -15°~ 195°, triple codec H.265/H.264/MJPEG with WiseStream II, Multiple streaming, 150dB WDR, True Day &amp; Night (ICR), Advanced Video Analytics and Sound Classification, Motion detection, Tampering, Fog detection, Defocus detection, Auto-tracking, HLC, Digital Image Stabilization with Built-in Gyro sensor, Bi-directional audio and dual SD/SDHC/SDXC slot, USB port for easy installation, PoE+/24VAC</t>
  </si>
  <si>
    <t>SNP-6320H</t>
  </si>
  <si>
    <t>Network PTZ camera, 2MP, Full HD(1080p) 60fps, H.264/MJPEG, Optical Zoom Lens 32x (4.44-142.6mm), 120dB WDR, Day &amp; Night (ICR), HLC, auto tracking, 700°/sec Pan, SD/SDHC/SDXC, 24VAC/PoE+, IP66, IK10, Heater on -58°F 24VAC or -22°F PoE+, Analytics</t>
  </si>
  <si>
    <t>XNP-6320H</t>
  </si>
  <si>
    <t>Wisenet X powered by Wisenet 5 network outdoor PTZ camera, 2MP @ 60fps, Full HD(1080p), 32X optical zoom lens (4.44mm ~142.6mm) (61.8º ~ 2.19º), 360° Endless Pan range, 700°/sec Pan speed, Tilt: -15°~ 195°, triple codec H.265/H.264/MJPEG with WiseStream II, Multiple streaming, 150dB WDR, True Day &amp; Night (ICR), Advanced Video Analytics and Sound Classification, Motion detection, Tampering, Fog detection, Defocus detection, Auto-tracking, HLC, Digital Image Stabilization with Built-in Gyro sensor, Bi-directional audio and dual SD/SDHC/SDXC slot, USB port for easy installation, IP66, IK10, Heater on -50°C 24VAC, PoE+/24VAC</t>
  </si>
  <si>
    <t>SNP-6320RH</t>
  </si>
  <si>
    <t>2MP IR 32x PTZ</t>
  </si>
  <si>
    <t>Network 492ft (150m) IR PTZ camera, 2MP, Full HD(1080p) 60fps, H.264/MJPEG, Motorized 32x optical zoom, 120dB WDR, HLC, auto tracking, Day &amp; Night (ICR), 24VAC, IP66, IK10, Built-in -58°F (-50°C) Heater, Analytics</t>
  </si>
  <si>
    <t>XNP-6320RH</t>
  </si>
  <si>
    <t>SNP-6321</t>
  </si>
  <si>
    <t>Wisenet III Network PTZ camera, 2MP, Full HD(1080p) 60fps, H.264/MJPEG, Optical Zoom Lens 32x (4.44-142.6mm), 120dB WDR, Day &amp; Night (ICR),700°/sec Pan, SD/SDHC/SDXC, 24VAC/PoE, Analytics</t>
  </si>
  <si>
    <t>XNP-6321</t>
  </si>
  <si>
    <t>Wisenet X powered by Wisenet 5 network indoor PTZ camera, 2MP @ 60fps, Full HD(1080p), 32X optical zoom lens (4.44mm ~142.6mm) (61.8º ~ 2.19º), 360° Endless Pan range, 700°/sec Pan speed, Tilt: -15°~ 195°, triple codec H.265/H.264/MJPEG with WiseStream II, Multiple streaming, 150dB WDR, True Day &amp; Night (ICR), Intelligent Video Analytics and Sound Classification, Motion detection, Tampering, Fog detection, HLC, Digital Image Stabilization with Built-in Gyro sensor, Bi-directional audio and dual SD/SDHC/SDXC slot, USB port for easy installation, PoE+/24VAC</t>
  </si>
  <si>
    <t>SNP-6321H</t>
  </si>
  <si>
    <t>Wisenet III Network PTZ camera, 2MP, Full HD(1080p) 60fps, H.264/MJPEG, Optical Zoom Lens 32x (4.44-142.6mm), 120dB WDR, Day &amp; Night (ICR),700°/sec Pan, SD/SDHC/SDXC, 24VAC/PoE+, IP66, IK10, Heater on -58°F 24VAC or -22°F PoE+, Analytics</t>
  </si>
  <si>
    <t>XNP-6321H</t>
  </si>
  <si>
    <t>Wisenet X powered by Wisenet 5 network outdoor PTZ camera, 2MP @ 60fps, Full HD(1080p), 32X optical zoom lens (4.44mm ~142.6mm) (61.8º ~ 2.19º), 360° Endless Pan range, 700°/sec Pan speed, Tilt: -15°~ 195°, triple codec H.265/H.264/MJPEG with WiseStream II, Multiple streaming, 150dB WDR, True Day &amp; Night (ICR), Intelligent Video Analytics and Sound Classification, Motion detection, Tampering, Fog detection, HLC, Digital Image Stabilization with Built-in Gyro sensor, Bi-directional audio and dual SD/SDHC/SDXC slot, USB port for easy installation, IP66, IK10, Heater on -50°C 24VAC, PoE+/24VAC</t>
  </si>
  <si>
    <t>SNP-L6233</t>
  </si>
  <si>
    <t>Wisenet Lite Network PTZ camera, 2MP, Full HD(1080p) 30fps, H.264/MJPEG, Optical Zoom Lens 23x (4.44-102.1mm), 100dB WDR, Day &amp; Night (ICR), 500°/sec Pan, SD/SDHC/SDXC, 24VAC/PoE+, Analytics</t>
  </si>
  <si>
    <t>SNP-L6233H</t>
  </si>
  <si>
    <t>Wisenet Lite Network PTZ camera, 2MP, Full HD(1080p) 30fps, H.264/MJPEG, Optical Zoom Lens 23x (4.44-102.1mm), 100dB WDR, Day &amp; Night (ICR), 500°/sec Pan, SD/SDHC/SDXC, 24VAC/PoE+, Analytics, IP66, IK10, Heater on -58°F 24VAC, Analytics</t>
  </si>
  <si>
    <t>SNP-L6233RH</t>
  </si>
  <si>
    <t>2MP IR 23x PTZ</t>
  </si>
  <si>
    <t>Network 328.08ft (100m) IR PTZ camera, 2MP, Full HD(1080p) 30fps, H.264/MJPEG, Motorized 23x optical zoom, 100dB WDR, HLC, Day &amp; Night (ICR), 24VAC, IP66, IK10, Built-in -58°F (-50°C) Heater, Analytics</t>
  </si>
  <si>
    <t>SNZ-6320</t>
  </si>
  <si>
    <t>Wisenet III Network Zoom Box camera, 2MP, Full HD(1080p) 60fps, Zoom Lens 32x (4.42-142.6mm), H.264/MJPEG, 120dB WDR, Analytics, Day &amp; Night (ICR), 12VDC/PoE</t>
  </si>
  <si>
    <t>XNZ-L6320</t>
  </si>
  <si>
    <t>SPB-IND72</t>
  </si>
  <si>
    <t>Smoked Dome Cover for QND-6070R/7080R, White</t>
  </si>
  <si>
    <t>SPB-VAN4</t>
  </si>
  <si>
    <t>Smoked Dome Cover for SCV-5082/5083/5083R, SNV-L5083R, SNV-L6083R, SCV-6083R/6023R, QNV-7080R,QNV-6070R, HCV-6070R/6080R</t>
  </si>
  <si>
    <t>SPD-151</t>
  </si>
  <si>
    <t>48CH Video Decoder</t>
  </si>
  <si>
    <t xml:space="preserve">48CH Network Video Decoder, up to 49 cameras (48 x HDMI,VGA, 1xBNC), Clone &amp; Expand mode support (HDMI, VGA), Max. 4K resolution, @HDMI, Max. 1080p@VGA, triple codec H.265/H.264/MJPEG, Management using Web-viewer, PoE/12VDC </t>
  </si>
  <si>
    <t>SPD-150</t>
  </si>
  <si>
    <t xml:space="preserve">48CH Network Video Decoder, up to 49 cameras (48 x HDMI,VGA, 1xBNC), Clone &amp; Expand mode support (HDMI, VGA), Max. 4K resolution, @HDMI, Max. 1080p@VGA, Decode video stream@12MP, 8MP, 5MP, 3MP, 1080p, 720p, 4CIF, triple codec H.265/H.264/MJPEG, Management using local UI, Up to 20 layouts and sequence, Hallway view, PoE/12VDC </t>
  </si>
  <si>
    <t>SPE-100</t>
  </si>
  <si>
    <t>1CH Video Encoder</t>
  </si>
  <si>
    <t>1CH Network Video Encoder, H.264/MPEG-4/MJPEG, 30fps @ 4CIF, Multiple streaming, Alarm I/O 1/1, RS-485 Interface, ONVIF protocol support, Bi-directional Audio, SD/SDHC slot, PoE/12VDC</t>
  </si>
  <si>
    <t>SPE-101</t>
  </si>
  <si>
    <t>1CH Network Video Encoder, H.264/MPEG-4/MJPEG, 30fps @ 4CIF, Multiple streaming, RS-485 Interface, ONVIF protocol support, PoE/12VDC</t>
  </si>
  <si>
    <t>SPE-110A</t>
  </si>
  <si>
    <t>1CH Network Video Encoder, H.264/MPEG-4/MJPEG, 30fps @ 2MP or lower and 15fps @ 4MP, AHD/CVI/TVI/CVBS compatible, RS-485/422 Interface, Pelco C when using CVBS or ACP up-coax protocol @ AHD,  ONVIF protocol support, PoE/12VDC</t>
  </si>
  <si>
    <t>SPE-1610</t>
  </si>
  <si>
    <t>16CH Network Video Encoder, H.264/MJPEG, 30fps @ 2MP or lower and 15 fps @ 4MP, Multiple streaming, AHD/CVI/TVI/CVBS compatible, RS-485/422 Interface, Pelco C when using CVBS or ACP up-coax protocol @ AHD,  ONVIF protocol support, HDMI output, Alarm I/O 16/4, Bi-directional Audio, 12VDC</t>
  </si>
  <si>
    <t>SPE-1610A</t>
  </si>
  <si>
    <t>SPE-400</t>
  </si>
  <si>
    <t>4CH Network Video Encoder, H.264/MPEG-4/MJPEG, 30fps @ 4CIF, Multiple streaming, Alarm I/O 4/4, RS-485 Interface, ONVIF protocol support, Bi-directional Audio, SD/SDHC slot, 12VDC</t>
  </si>
  <si>
    <t>SPE-410</t>
  </si>
  <si>
    <t>4CH Network Video Encoder, H.264/MJPEG, 30fps @ 2MP or lower and 15 fps @ 4MP, Dual Streaming, AHD/CVI/TVI compatible, RS-485/422 Interface, Pelco C when using CVBS or ACP up-coax protocol @ AHD,  ONVIF protocol support, HDMI output, Alarm I/O 4/2, Bi-directional Audio, PoE/12VDC</t>
  </si>
  <si>
    <t>SPE-410A</t>
  </si>
  <si>
    <t>4CH Network Video Encoder, H.264/MJPEG, 30fps @ 2MP or lower and 15 fps @ 4MP, Dual Streaming, AHD/CVI/TVI/CVBS compatible, RS-485/422 Interface, Pelco C when using CVBS or ACP up-coax protocol @ AHD,  ONVIF protocol support, HDMI output, Alarm I/O 4/2, Bi-directional Audio, PoE/12VDC</t>
  </si>
  <si>
    <t>Server - Network</t>
  </si>
  <si>
    <t>SSM-CLIENT-TOWER/AA</t>
  </si>
  <si>
    <t>Mid-Tower SuperChassis, Intel Core i7 9700, up to 4.7GHz 6C/12T, 2x8GB DDR4 RAM, 240GB SSD Drive (OS), 2x 1 GbE LAN, 2x PNY GeForce GTX 1060 6GB  PCIE 3.0, Windows 10 64 Bit PRO, 5 Year NBD Onsite Warranty</t>
  </si>
  <si>
    <t>SSM-CLIENT-TOWER/AB</t>
  </si>
  <si>
    <t>Mid-Tower SuperChassis, Intel Core i7 8700, up to 4.6GHz 6C/12T, 2x8GB DDR4 RAM, 240GB SSD Drive (OS), 2x 1 GbE LAN, 2x PNY GeForce GTX 1060 6GB  PCIE 3.0, Windows 10 64 Bit PRO, 5 Year Warranty</t>
  </si>
  <si>
    <t>SSM-RS-1U4BAY/AA</t>
  </si>
  <si>
    <t>4 Bay Server, Intel Xeon E-2146G, 3.5GHz 6C/12T, 2x8GB DDR4 RAM, 2x 240GB SSD Drive (OS), 4x 3.5" hot-swap HDD Drive Bays (RAID 5), 2x 1 GbE LAN, Onboard Graphics, 500W Redundant Platinum PSU, Windows Server Emb 2012 64 Bit EMB ESD, 5 Year NBD Onsite Warranty</t>
  </si>
  <si>
    <t>SSM-RS-1U4BAY/AB</t>
  </si>
  <si>
    <t>4 Bay Server, Intel Xeon E-2176G, 3.7GHz 6C/12T, 2x8GB DDR4 RAM, 2x 240GB SSD Drive (OS), 4x 3.5" hot-swap HDD Drive Bays (RAID 5), 2x 1 GbE LAN, Onboard Graphics, 500W Redundant Platinum PSU, Windows 10 64 bit PRO, 5 Year Warranty</t>
  </si>
  <si>
    <t>STB-400</t>
  </si>
  <si>
    <t>Fixed Mount</t>
  </si>
  <si>
    <t>Aluminum Wall Mount Adapter for box cameras enclosures, Bracket for STH-500/200, Ivory</t>
  </si>
  <si>
    <t>STN-L4655E</t>
  </si>
  <si>
    <t>Monitor stand</t>
  </si>
  <si>
    <t>SWX-WAVE</t>
  </si>
  <si>
    <t>Optional Output Modules WAVE</t>
  </si>
  <si>
    <t>Optional Output Modules WAVE (Licence per server)</t>
  </si>
  <si>
    <t>TAW-4000H16</t>
  </si>
  <si>
    <t>TMS appliance</t>
  </si>
  <si>
    <t>TMS (Transportation Monitoring System) Software installed appliance, up to 28 server clustering (max. 10,000CH), video and event management up to 128 mobile NVRs, 16 Bay 3U server, Intel Xeon E3-1275, 3.6GHz, 2x8GB DDR3 RAM, 1x 128GB SSD Drive (OS), 16x 3.5" hot-swap SAS/SATA Drive Bays (up to 160TB), 2x 1 GbE LAN, Onboard Graphics, 2x550W Redundant PSU, Windows 10 IoT Enterprise</t>
  </si>
  <si>
    <t>TH-16</t>
  </si>
  <si>
    <t>Traffic Hub Server Software 16 CH</t>
  </si>
  <si>
    <t>TH-4</t>
  </si>
  <si>
    <t>Traffic Hub Server Software 4 CH</t>
  </si>
  <si>
    <t>TH-48</t>
  </si>
  <si>
    <t>Traffic Hub Server Software 48 CH</t>
  </si>
  <si>
    <t>TH-MIL</t>
  </si>
  <si>
    <t>Optional Output Modules Milestone Analytics</t>
  </si>
  <si>
    <t>Optional Output Modules Milestone Analytics (Licence per server)</t>
  </si>
  <si>
    <t>TH-MOD</t>
  </si>
  <si>
    <t>Optional Output Modules MODBUS</t>
  </si>
  <si>
    <t>Optional Output Modules MODBUS (Licence per server)</t>
  </si>
  <si>
    <t>TH-MOX</t>
  </si>
  <si>
    <t>Optional Output Modules MOXA</t>
  </si>
  <si>
    <t>Optional Output Modules MOXA (Licence per server)</t>
  </si>
  <si>
    <t>TH-OPC-DA</t>
  </si>
  <si>
    <t>Optional Output Modules OPC DA</t>
  </si>
  <si>
    <t>Optional Output Modules OPC DA (Licence per server)</t>
  </si>
  <si>
    <t>TH-OPC-UA</t>
  </si>
  <si>
    <t>Optional Output Modules OPC UA</t>
  </si>
  <si>
    <t>Optional Output Modules OPC UA (Licence per server)</t>
  </si>
  <si>
    <t>TNB-6030/BIO</t>
  </si>
  <si>
    <t>PVM Camera
with AI-BIO-DASH</t>
  </si>
  <si>
    <t>PVM camera powered by Wisenet 5 with AI-Bio-DASH application and 32GB SD card installed, 1080p (1920x1080), micro HDMI output, 16:9 aspect ratio, face detection display for visual deterrent, customizable text overlay, 4.6mm fixed lens(73.8°H), 150dB WDR, H.265/H.264/MJPEG, WiseStream II compression technology, micro SD/SDHC/SDXC, bi-directional audio, hallway view mode</t>
  </si>
  <si>
    <t>TNO-6321E</t>
  </si>
  <si>
    <t>Explosion Proof Zoom</t>
  </si>
  <si>
    <t>Wisenet T</t>
  </si>
  <si>
    <t>Explosion Proof Zoom Camera, 2MP @60fps, 4.44 ~ 142.6mm optical zoom lens (32x) (62.8º ~ 2.23º), H.264/MJPEG with WiseStream, Multiple streaming, 120dB WDR, Auto Day &amp; Night (ICR), Face detection, Tampering detection, Motion detection, Digital Image Stabilization, ONVIF S, cLCus C1/D1 certification, CE2460 EX II 2 GD Ex d IIC T6 Gb IP67 Ex tb IIIC T80°C Db, IP67/IK10, 24VAC, Stainless 316L, Built-in Wiper</t>
  </si>
  <si>
    <t>TNU-6320</t>
  </si>
  <si>
    <t>Network Positioning camera, 2MP @60fps, 4.44 ~ 142.6mm 32x optical zoom lens (62.8º ~ 2.23º), H.264/MJPEG with WiseStream, Multiple streaming, 120dB WDR, True Day &amp; Night (ICR), Face detection, Tampering detection, Motion detection, Digital Image Stabilization, ONVIF S, IP66, 24VAC, Built-in Wiper</t>
  </si>
  <si>
    <t>TNV-8010C</t>
  </si>
  <si>
    <t>5MP Corner mount camera</t>
  </si>
  <si>
    <t>Wisenet T network outdoor corner mount camera, 5MP @30fps, 2.3mm fixed lens, triple codec H.265/H.264/MJPEG with WiseStream II, Multiple streaming, 120dB WDR, Auto Day &amp; Night (ICR), Advanced Video Analytics, Hallway View, Motion detection, LDC (Lens Distortion Correction), Bi-directional audio and SD/SDHC/SDXC slot, IP66, IK10, IP6K9K, PoE</t>
  </si>
  <si>
    <t>TNV-7010RC</t>
  </si>
  <si>
    <t>3MP IR Vandal Corner</t>
  </si>
  <si>
    <t>Wisenet T powered by Wisenet 5 network outdoor IR corner mount camera, 3MP, 2048*1536 @ 30fps, 2.8mm fixed lens (102°*75°), 940nm IR 32', built-in mic, triple codec H.265/H.264/MJPEG with WiseStream II technology, 120dB WDR, advanced video analytics and business analytics, single SD card, HLC, defog detection, DIS, PoE, IP66,Nema 4X, IK10</t>
  </si>
  <si>
    <t>TRI-CHK</t>
  </si>
  <si>
    <t>Veracity Coldstream Licence, Single Channel</t>
  </si>
  <si>
    <t>TRM-1610M</t>
  </si>
  <si>
    <t>16CH 12MP H.265 Mobile NVR (M12)</t>
  </si>
  <si>
    <t>16CH Mobile NVR, 16CH @12MP each, triple codec H.265/H.264/MJPEG with WiseStream, 128Mbps network camera recording, 2 front hot swap SATA HDD (4TB max), RAID-1, HDMI, VGA support, GPS Module, built-in Wi-Fi, SUNAPI, ONVIF, 4 PoE ports M12, two PoE switches SPN-10080P (8 ch PoE with RJ-45) x2 are needed to use all 16 channels, 9-36VDC, EN50155, no HDD included</t>
  </si>
  <si>
    <t>TRM-1610S</t>
  </si>
  <si>
    <t>TNO-6320E</t>
  </si>
  <si>
    <t>VHW-HWPS-BLL</t>
  </si>
  <si>
    <t>Veracity Highwire Base Unit, Ethernet &amp; Power over coax</t>
  </si>
  <si>
    <t>VHW-HWPS-C</t>
  </si>
  <si>
    <t>Veracity Highwire Camera Unit, Ethernet &amp; Power over coax</t>
  </si>
  <si>
    <t>VTN-EXTEND</t>
  </si>
  <si>
    <t>Veracity Timenet Pro, Antenna Extension, 10m</t>
  </si>
  <si>
    <t>VTN-TN-PRO</t>
  </si>
  <si>
    <t>Veracity Timenet Pro, Master NTP reference clock for Ethernet networks,POE powered</t>
  </si>
  <si>
    <t>WISENET-1U-12TB/AB</t>
  </si>
  <si>
    <t>1U 4-Bay Video Recording Server, Xeon E-2136, 2x8GB RAM, 2x 240GB M.2 SSD Drive (OS), 3x 4TB SATA RAID5 (usable space 8TB), Onboard Graphics, 2x 350W PSU, Windows 10 PRO, 5YR NBD Warranty</t>
  </si>
  <si>
    <t>WISENET-1U-24TB/AB</t>
  </si>
  <si>
    <t>1U 4-Bay Video Recording Server, Xeon E-2136, 2x8GB RAM, 2x 240GB M.2 SSD Drive (OS), 3x 8TB SATA RAID5 (usable space 14.9TB), Onboard Graphics, 2x 350W PSU, Windows 10 PRO, 5YR NBD Warranty</t>
  </si>
  <si>
    <t>WISENET-1U-WS/AB</t>
  </si>
  <si>
    <t>1U 4-Bay Video Recording Server, Intel Core i7 9700k, 2x8GB RAM, 2x 256GB M.2 SSD Drive (OS), NVIDIA Quadro P620, 2x 550W PSU, Windows 10 PRO, 5YR NBD Warranty</t>
  </si>
  <si>
    <t>WISENET-2U-40TB/AB</t>
  </si>
  <si>
    <t>2U 8-Bay Rackmount Video Recording Server, Xeon Silver 4210, 2x8GB RAM, 2x 240GB M.2 SSD Drive (OS), 5x 8TB SATA RAID5 (usable space 29.8TB), Onboard Graphics, 2x 1100W PSU, Windows 10 PRO, 5YR NBD Warranty</t>
  </si>
  <si>
    <t>WISENET-2U-48TB/AB</t>
  </si>
  <si>
    <t>2U 8-Bay Rackmount Video Recording Server, Xeon Silver 4210, 2x8GB RAM, 2x 240GB M.2 SSD Drive (OS), 6x 8TB SATA RAID5 (usable space 37.2TB), Onboard Graphics, 2x 1100W PSU, Windows 10 PRO, 5YR NBD Warranty</t>
  </si>
  <si>
    <t>WISENET-2U-64TB/AB</t>
  </si>
  <si>
    <t>2U 8-Bay Rackmount Video Recording Server, Xeon Silver 4210, 2x8GB RAM, 2x 240GB M.2 SSD Drive (OS), 8x 8TB SATA RAID5 (usable space 52.1TB), Onboard Graphics, 2x 1100W PSU, Windows 10 PRO, 5YR NBD Warranty</t>
  </si>
  <si>
    <t>WISENET-HDD-10TB/AA</t>
  </si>
  <si>
    <t>10TB SATA Drive</t>
  </si>
  <si>
    <t>WISENET-HDD-12TB/AA</t>
  </si>
  <si>
    <t>12TB SATA Drive</t>
  </si>
  <si>
    <t>WISENET-HDD-1TB/AA</t>
  </si>
  <si>
    <t>1TB 3.5" Enterprise SATA Drive</t>
  </si>
  <si>
    <t>WISENET-HDD-2TB/AA</t>
  </si>
  <si>
    <t>2TB 3.5" SATA Drive</t>
  </si>
  <si>
    <t>WISENET-HDD-4TB/AA</t>
  </si>
  <si>
    <t>4TB 3.5" SATA Drive</t>
  </si>
  <si>
    <t>WISENET-HDD-8TB/AA</t>
  </si>
  <si>
    <t>8TB 3.5" SATA Drive</t>
  </si>
  <si>
    <t>WISENET-SFF-12TB/AB</t>
  </si>
  <si>
    <t>Small Form Factor Client, Intel Core i7 9700, 16GB RAM, 256GB SSD Drive (OS), 12TB SATA, Onboard Graphics, 200W PSU, Windows 10 PRO, 5YR NBD Warranty</t>
  </si>
  <si>
    <t>WISENET-SFF-4TB/AB</t>
  </si>
  <si>
    <t>Small Form Factor Client, Intel Core i7 9700, 16GB RAM, 256GB SSD Drive (OS), 4TB SATA, Onboard Graphics, 200W PSU, Windows 10 PRO, 5YR NBD Warranty</t>
  </si>
  <si>
    <t>WISENET-SFF-8TB/AB</t>
  </si>
  <si>
    <t>Small Form Factor Client, Intel Core i7 9700, 16GB RAM, 256GB SSD Drive (OS), 8TB SATA, Onboard Graphics, 200W PSU, Windows 10 PRO, 5YR NBD Warranty</t>
  </si>
  <si>
    <t>WISENET-SFF-WS/AB</t>
  </si>
  <si>
    <t>Small Form Factor Client, Intel Core i7 9700, 16GB RAM, 256GB SSD Drive (OS), NVIDIA Quadro P620, 200W PSU, Windows 10 PRO, 5YR NBD Warranty</t>
  </si>
  <si>
    <t>WISENET-TOWER-12TB/AB</t>
  </si>
  <si>
    <t>3-Bay Tower Video Server, Intel Core i7 9700k, 2x8GB RAM, 256GB SSD Drive (OS), 12TB SATA, Onboard Graphics, 850W PSU, Windows 10 PRO, 5YR NBD Warranty</t>
  </si>
  <si>
    <t>WISENET-TOWER-24TB/AB</t>
  </si>
  <si>
    <t>3-Bay Tower Video Server, Intel Core i7 9700k, 2x8GB RAM, 256GB SSD Drive (OS), 2x12TB SATA, Onboard Graphics, 850W PSU, Windows 10 PRO, 5YR NBD Warranty</t>
  </si>
  <si>
    <t>WISENET-TOWER-4TB/AB</t>
  </si>
  <si>
    <t>3-Bay Tower Video Server, Intel Core i7 9700k, 2x8GB RAM, 256GB SSD Drive (OS), 4TB SATA, Onboard Graphics, 850W PSU, Windows 10 PRO, 5YR NBD Warranty</t>
  </si>
  <si>
    <t>WISENET-TOWER-8TB/AB</t>
  </si>
  <si>
    <t>3-Bay Tower Video Server, Intel Core i7 9700k, 2x8GB RAM, 256GB SSD Drive (OS), 8TB SATA, Onboard Graphics, 850W PSU, Windows 10 PRO, 5YR NBD Warranty</t>
  </si>
  <si>
    <t>WISENET-TOWER-WS/AB</t>
  </si>
  <si>
    <t>3-Bay Tower Video Server, Intel Core i7 9700k, 2x8GB RAM, 256GB SSD Drive (OS), 2x12TB SATA, NVIDIA GTX 1660 Ti, 850W PSU, Windows 10 PRO, 5YR NBD Warranty</t>
  </si>
  <si>
    <t>WRN-1610S</t>
  </si>
  <si>
    <t xml:space="preserve">Wisenet WAVE 1U PoE NVR </t>
  </si>
  <si>
    <r>
      <rPr>
        <rFont val="Arial"/>
        <color rgb="FF000000"/>
        <sz val="12.0"/>
      </rPr>
      <t xml:space="preserve">2U Wisenet WAVE Network Video Recorder, Wisenet WAVE pre-installed, up to 150 Mbps recording B/W, 4x HDD Bays (3.5") up to 24TB, Intel CPU, Linux Ubuntu, HDMI, VGA output, 16 PoE+ camera ports with 200W total PoE budget, 320W power supply, Mouse included, Rail mount brackets included, </t>
    </r>
    <r>
      <rPr>
        <rFont val="Arial"/>
        <b/>
        <color rgb="FF000000"/>
        <sz val="12.0"/>
      </rPr>
      <t>No HDD included</t>
    </r>
    <r>
      <rPr>
        <rFont val="Arial"/>
        <color rgb="FF000000"/>
        <sz val="12.0"/>
      </rPr>
      <t xml:space="preserve"> (barebone), </t>
    </r>
    <r>
      <rPr>
        <rFont val="Arial"/>
        <b/>
        <color rgb="FF000000"/>
        <sz val="12.0"/>
      </rPr>
      <t>Wave licence not included</t>
    </r>
  </si>
  <si>
    <t>2U Wisenet WAVE Network Video Recorder with 4 Professional licenses, Wisenet WAVE pre-installed, up to 150 Mbps recording B/W, 4x HDD Bays (3.5") up to 24TB, Intel CPU, Linux Ubuntu, HDMI, VGA output, 16 PoE+ camera ports with 200W total PoE budget, 320W power supply, Mouse included, Rail mount brackets included, No HDD included (barebone)</t>
  </si>
  <si>
    <t>WRN-1610S-16CH-4TB-V2</t>
  </si>
  <si>
    <t>Wisenet WAVE 2U PoE NVR - 4TB with 16CH WAVE licence</t>
  </si>
  <si>
    <t>1U Wisenet WAVE Network Video Recorder with 8 Professional licenses, Wisenet WAVE pre-installed, Seagate SkyHawk 4TB raw, up to 80 Mbps recording B/W, 2x HDD Bays (3.5") up to 12TB, Intel CPU, Linux Ubuntu, HDMI, VGA output, 8 PoE+ camera ports with 100W total PoE budget, 164W power supply, Mouse included, Rail mount brackets included</t>
  </si>
  <si>
    <t>WRN-1610S-16CH-4TB</t>
  </si>
  <si>
    <t>WRN-1610S-4CH-4TB-V2</t>
  </si>
  <si>
    <t>Wisenet WAVE 2U PoE NVR - 4TB with 4CH WAVE licence</t>
  </si>
  <si>
    <t>WRN-1610S-4CH-4TB</t>
  </si>
  <si>
    <t>WRN-1610S-8CH-4TB-V2</t>
  </si>
  <si>
    <t>Wisenet WAVE 2U PoE NVR - 4TB with 8CH WAVE licence</t>
  </si>
  <si>
    <t>1U Wisenet WAVE Network Video Recorder with 4 Professional licenses, Wisenet WAVE pre-installed, Seagate SkyHawk 4TB raw, up to 80 Mbps recording B/W, 2x HDD Bays (3.5") up to 12TB, Intel CPU, Linux Ubuntu, HDMI, VGA output, 8 PoE+ camera ports with 100W total PoE budget, 164W power supply, Mouse included, Rail mount brackets included</t>
  </si>
  <si>
    <t>WRN-1610S-8CH-4TB</t>
  </si>
  <si>
    <t>WRN-810S</t>
  </si>
  <si>
    <t>Wisenet WAVE 1U PoE NVR</t>
  </si>
  <si>
    <r>
      <rPr>
        <rFont val="Arial"/>
        <color rgb="FF000000"/>
        <sz val="12.0"/>
      </rPr>
      <t xml:space="preserve">1U Wisenet WAVE Network Video Recorder,  Wisenet WAVE pre-installed, up to 80 Mbps recording B/W, 2x HDD Bays (3.5") up to 12TB, Intel CPU, Linux Ubuntu, HDMI, VGA output, 8 PoE+ camera ports with 100W total PoE budget, 164W power supply, Mouse included, Rail mount brackets included, </t>
    </r>
    <r>
      <rPr>
        <rFont val="Arial"/>
        <b/>
        <color rgb="FF000000"/>
        <sz val="12.0"/>
      </rPr>
      <t>No HDD included</t>
    </r>
    <r>
      <rPr>
        <rFont val="Arial"/>
        <color rgb="FF000000"/>
        <sz val="12.0"/>
      </rPr>
      <t xml:space="preserve"> (barebone), </t>
    </r>
    <r>
      <rPr>
        <rFont val="Arial"/>
        <b/>
        <color rgb="FF000000"/>
        <sz val="12.0"/>
      </rPr>
      <t>Wave licence not included</t>
    </r>
  </si>
  <si>
    <t>WRN-810S-4CH</t>
  </si>
  <si>
    <t>1U Wisenet WAVE Network Video Recorder with 4 Professional licenses,  Wisenet WAVE pre-installed, up to 80 Mbps recording B/W, 2x HDD Bays (3.5") up to 12TB, Intel CPU, Linux Ubuntu, HDMI, VGA output, 8 PoE+ camera ports with 100W total PoE budget, 164W power supply, Mouse included, Rail mount brackets included, No HDD included (barebone)</t>
  </si>
  <si>
    <t>WRN-810S-4CH-4TB-V2</t>
  </si>
  <si>
    <t>Wisenet WAVE 1U PoE NVR - 4TB with 4CH WAVE licence</t>
  </si>
  <si>
    <t>WRN-810S-4CH-4TB</t>
  </si>
  <si>
    <t>WRN-810S-8CH-4TB-V2</t>
  </si>
  <si>
    <t>Wisenet WAVE 1U PoE NVR - 4TB with 8CH WAVE licence</t>
  </si>
  <si>
    <t>WRN-810S-8CH-4TB</t>
  </si>
  <si>
    <t>WW-2U12BAY/AA</t>
  </si>
  <si>
    <t>12 Bay Server, Intel Xeon E-2146G, 3.5GHz 6C/12T, 2x8GB DDR4 RAM, 2x 240GB SSD Drive (OS), LSI 4 RAID Card, 12x 3.5" hot-swap SAS/SATA Drive Bays, 2x 1 GbE LAN, Onboard Graphics, 920W Redundant Platinum PSU, Windows 10 64 bit PRO, 5 Year NBD Onsite Warranty</t>
  </si>
  <si>
    <t>WW-2U12BAY/AB</t>
  </si>
  <si>
    <t>12 Bay Server, Intel Xeon E-2176G, 3.7GHz 6C/12T, 2x8GB DDR4 RAM, 2x 240GB SSD Drive (OS), LSI 4 RAID Card, 12x 3.5" hot-swap SAS/SATA Drive Bays, 2x 1 GbE LAN, Onboard Graphics, 920W Redundant Platinum PSU, Windows 10 64 bit PRO, 5 Year Warranty</t>
  </si>
  <si>
    <t>WW-2U12BAY-RAID5/AA</t>
  </si>
  <si>
    <t>12 Bay Server, Intel Xeon E-2146G, 3.5GHz 6C/12T, 2x8GB DDR4 RAM, 2x 240GB SSD Drive (OS), LSI 4 RAID Card, 12x 3.5" hot-swap SAS/SATA Drive Bays (RAID5), 2x 1 GbE LAN, Onboard Graphics, 920W Redundant Platinum PSU, Windows 10 64 bit PRO, 5 Year NBD Onsite Warranty</t>
  </si>
  <si>
    <t>WW-2U12BAY-RAID5/AB</t>
  </si>
  <si>
    <t>12 Bay Server RAID5 Ready, Intel Xeon E-2176G, 3.7GHz 6C/12T, 2x8GB DDR4 RAM, 2x 240GB SSD Drive (OS), LSI 4 RAID Card, 12x 3.5" hot-swap SAS/SATA Drive Bays, 2x 1 GbE LAN, Onboard Graphics, 920W Redundant Platinum PSU, Windows 10 64 bit PRO, 5 Year Warranty</t>
  </si>
  <si>
    <t>WW-2U8BAY/AA</t>
  </si>
  <si>
    <t>8 Bay Server, Intel Xeon E-2146G, 3.5GHz 6C/12T, 2x8GB DDR4 RAM, 2x 240GB SSD Drive (OS), LSI 8 RAID Card, 8x 3.5" hot-swap SAS/SATA Drive Bays, 2x 1 GbE LAN, Onboard Graphics, 740W Redundant Platinum PSU, Windows 10 64 bit PRO, 5 Year NBD Onsite Warranty</t>
  </si>
  <si>
    <t>WW-2U8BAY/AB</t>
  </si>
  <si>
    <t>8 Bay Server, Intel Xeon E-2176G, 3.7GHz 6C/12T, 2x8GB DDR4 RAM, 2x 240GB SSD Drive (OS), LSI 8 RAID Card, 8x 3.5" hot-swap SAS/SATA Drive Bays, 2x 1 GbE LAN, Onboard Graphics, 740W Redundant Platinum PSU, Windows 10 64 bit PRO, 5 Year Warranty</t>
  </si>
  <si>
    <t>WW-2U8BAY-RAID5/AA</t>
  </si>
  <si>
    <t>8 Bay Server, Intel Xeon E-2146G, 3.5GHz 6C/12T, 2x8GB DDR4 RAM, 2x 240GB SSD Drive (OS), LSI 8 RAID Card, 8x 3.5" hot-swap SAS/SATA Drive Bays (RAID5), 2x 1 GbE LAN, Onboard Graphics, 740W Redundant Platinum PSU, Windows 10 64 bit PRO, 5 Year NBD Onsite Warranty</t>
  </si>
  <si>
    <t>WW-2U8BAY-RAID5/AB</t>
  </si>
  <si>
    <t>8 Bay Server RAID5 Ready, Intel Xeon E-2176G, 3.7GHz 6C/12T, 2x8GB DDR4 RAM, 2x 240GB SSD Drive (OS), LSI 8 RAID Card, 8x 3.5" hot-swap SAS/SATA Drive Bays, 2x 1 GbE LAN, Onboard Graphics, 740W Redundant Platinum PSU, Windows 10 64 bit PRO, 5 Year Warranty</t>
  </si>
  <si>
    <t>WW-CLIENT-PC/AA</t>
  </si>
  <si>
    <t>Mid-Tower SuperServer, Intel Core i5 8600, up to 4.3GHz 6C/6T, 2x8GB DDR4 RAM, 240GB SSD Drive (OS), 2x 1 GbE LAN, Onboard Graphics (HDMI, DP (Display Port) DVI-I), 250W Flex ATX PSU, Windows 10 64 Bit PRO, 5 Year NBD Onsite Warranty</t>
  </si>
  <si>
    <t>WW-CLIENT-SERVER/AA</t>
  </si>
  <si>
    <t>Mid-Tower SuperServer, Intel Core i7 9700, up to 4.7GHz 6C/12T, 2x8GB DDR4 RAM, 240GB SSD Drive (OS), 2x 1 GbE LAN, Onboard Graphics (HDMI, DP (Display Port) DVI-I), 250W Flex ATX PSU, Windows 10 64 Bit PRO, 5 Year NBD Onsite Warranty</t>
  </si>
  <si>
    <t>WW-CLIENT-SERVER/AB</t>
  </si>
  <si>
    <t>Mid-Tower SuperServer, Intel Core i7 9700, up to 4.7GHz 8C/8T, 2x8GB DDR4 RAM, 240GB SSD Drive (OS), 2x 1 GbE LAN, Onboard Graphics (HDMI, DP (Display Port) DVI-I), 250W Bronze Level PSU, Windows 10 64 Bit PRO, 5 Year Warranty</t>
  </si>
  <si>
    <t>WW-CLIENT-SERVER-GPU/AA</t>
  </si>
  <si>
    <t>Mid-Tower SuperServer, Intel Core i7 9700, up to 4.7GHz 6C/12T, 2x8GB DDR4 RAM, 240GB SSD Drive (OS), 2x 1 GbE LAN, PNY Geforce GT 1030 2GB  DDR5 PCI-E, 250W Flex ATX PSU, Windows 10 64 Bit PRO, 5 Year NBD Onsite Warranty</t>
  </si>
  <si>
    <t>WW-CLIENT-SERVER-GPU/AB</t>
  </si>
  <si>
    <t>Mid-Tower SuperServer, Intel Core i7 9700, up to 4.7GHz 8C/8T, 2x8GB DDR4 RAM, 240GB SSD Drive (OS), 2x 1 GbE LAN, PNY Geforce GT 1030 2GB  DDR5 PCI-E, 250W Bronze Level PSU, Windows 10 64 Bit PRO, 5 Year Warranty</t>
  </si>
  <si>
    <t>XNB-6000/FNP</t>
  </si>
  <si>
    <t>2MP Box with FF Group ANPR app</t>
  </si>
  <si>
    <t>Wisenet X powered by Wisenet 5 network box camera with FF Roadway ANPR app,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</si>
  <si>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XNB-6000-V/FNP</t>
  </si>
  <si>
    <t>XNB-6000/PSD</t>
  </si>
  <si>
    <t>2MP Box with Sprinx Pedestrian, Stopped Vehicle Detection</t>
  </si>
  <si>
    <t>Wisenet X powered by Wisenet 5 network box camera with Pedestrian, Stopped Vehicle Detection Edge based app with 32GB SD Card Included,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</si>
  <si>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XNB-6000/TD</t>
  </si>
  <si>
    <t>2MP Box with Sprinx Traffic Data</t>
  </si>
  <si>
    <t>Wisenet X powered by Wisenet 5 network box camera with Traffic Data Edge based app with 32GB SD Card Included,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</si>
  <si>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XNB-6000/TF</t>
  </si>
  <si>
    <t>2MP Box with Sprinx Traffic Flow</t>
  </si>
  <si>
    <t>Wisenet X powered by Wisenet 5 network box camera with Traffic Flow Edge based app with 32GB SD Card Included,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</si>
  <si>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XNB-6000-V/AID</t>
  </si>
  <si>
    <t>2MP Box with Sprinx Automatic Incident Detection</t>
  </si>
  <si>
    <t>Wisenet X powered by Wisenet 5 network box camera with Automatic Incident Detection Edge based app with 32GB SD Card Included,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</si>
  <si>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XNB-6005/AID</t>
  </si>
  <si>
    <t>eXtraLUX Box with Sprinx Automatic Incident Detection</t>
  </si>
  <si>
    <t>Wisenet X powered by Wisenet 5 network box camera with Automatic Incident Detection Edge based app, eXtraLUX features 1/2" sensor, 2MP @60fps, 0.006 Lux@F1.2 (Color), 0.0006 Lux@F1.2 (B/W),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</si>
  <si>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XNB-6005-V/AID</t>
  </si>
  <si>
    <t>Wisenet X powered by Wisenet 5 network box camera with Automatic Incident Detection Edge based app with 32GB SD Card Included, eXtraLUX features 1/2" sensor, 2MP @60fps, 0.006 Lux@F1.2 (Color), 0.0006 Lux@F1.2 (B/W),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</si>
  <si>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XND-6010-V/RET</t>
  </si>
  <si>
    <t>2MP Indoor Vandal
 with AI Retail-DASH</t>
  </si>
  <si>
    <t>Wisenet X powered by Wisenet 5 network indoor dome camera with AI-Retail-DASH application and 32GB SD card installed,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SD/SDHC/SDXC slot, IK08, PoE/12VDC</t>
  </si>
  <si>
    <t>XND-6081F</t>
  </si>
  <si>
    <t>2MP Flush Mount Dome</t>
  </si>
  <si>
    <t>Wisenet X</t>
  </si>
  <si>
    <t>Wisenet X powered by Wisenet 5 network flush mount dome camera, Modular structure X PLUS, 2MP @60fps, 2.8 ~ 12.0mm motorized vari-focal lens (4.3x) (119.5°~27.9°),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Plenum rate (UL2820), PoE/12VDC</t>
  </si>
  <si>
    <t>XND-6081FZ</t>
  </si>
  <si>
    <t>2MP Flush Mount PTRZ Dome</t>
  </si>
  <si>
    <t>Wisenet X powered by Wisenet 5 network flush mount indoor dome camera, Modular structure X PLUS, 2MP @60fps, 2.8 ~ 12.0mm motorized vari-focal lens (4.3x) (119.5°~27.9°), Motorized Pan/Tilt/Rotate/Zoom,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Plenum rate (UL2820), PoE/12VDC</t>
  </si>
  <si>
    <t>XND-6085V</t>
  </si>
  <si>
    <t>eXtraLUX Indoor PTRZ Dome</t>
  </si>
  <si>
    <t>Wisenet X powered by Wisenet 5 network indoor vandal dome camera, eXtraLUX features 1/2" sensor, 2MP @60fps, 0.004 Lux@F0.94 (Color), 0.0004 Lux@F0.94 (B/W), 4.1 ~ 16.4mm motorized vari-focal lens (optical 4x) (100.0°~26.2°), triple codec H.265/H.264/MJPEG with WiseStream II, Multiple streaming, 150dB WDR, True Day &amp; Night (ICR), Advanced Video Analytics and Sound Classification, Hallway View, Motion detection, Fog detection, HLC, Handover, Digital Image Stabilization with built-in Gyro sensor, , Bi-directional audio and dual SD/SDHC/SDXC slot, USB port for easy installation, IK08, PoE/12VDC</t>
  </si>
  <si>
    <t>XNO-6020R/SEC</t>
  </si>
  <si>
    <t>Wisenet X powered by Wisenet 5 network IR outdoor vandal bullet camera, 2MP @60fps, 4mm fixed lens (88.6°), triple codec H.265/H.264/MJPEG with WiseStream II, Multiple streaming, 150dB WDR, True Day &amp; Night (ICR), High Powered IR LEDs with IR viewable length 30m, Advanced Video Analytics and Sound Classification and Business Analytics, Hallway View, Motion detection, Fog detection, HLC, Handover, Digital Image Stabilization, Bi-directional audio and dual SD/SDHC/SDXC slot, USB port for easy installation, IP67, IK10, Nema 4X, PoE/12VDC</t>
  </si>
  <si>
    <t>XNO-6080R/FSNP</t>
  </si>
  <si>
    <t>2MP IR Bullet with FF Group Serverless ANPR app</t>
  </si>
  <si>
    <t>Wisenet X powered by Wisenet 5 network IR outdoor vandal bullet camera with FF Roadway Serverless ANPR, 2MP @60fps, 2.8 ~ 12.0mm motorized vari-focal lens (4.3x) (119.5°~27.9°), triple codec H.265/H.264/MJPEG with WiseStream II, Multiple streaming, 150dB WDR,  True Day &amp; Night (ICR), High Powered IR LEDs with IR viewable length 50m,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</si>
  <si>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XNO-6080R/TD</t>
  </si>
  <si>
    <t>2M 12X IR Bullet with Sprinx Traffic Data</t>
  </si>
  <si>
    <t>Wisenet X powered by Wisenet 5 network IR outdoor vandal bullet camera with Traffic Data Edge based app with 32GB SD Card Included,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</si>
  <si>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XNO-6085R/TL</t>
  </si>
  <si>
    <t>eXtraLUX IR Bullet with Sprinx Traffic Light</t>
  </si>
  <si>
    <t>Wisenet X powered by Wisenet 5 network IR outdoor vandal bullet camera with Traffic Light Edge based app, eXtraLUX features 1/2" sensor with F0.94 Lens, 2MP @60fps, 4.1 ~ 16.4mm motorized vari-focal lens (optical 4x) (100°~26.2°),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with built-in Gyro Sensor, Bi-directional audio and dual SD/SDHC/SDXC slot, USB port for easy installation, IP67, IK10, Nema 4X, PoE/12VDC/24VAC</t>
  </si>
  <si>
    <t>XNO-6120R/PSD</t>
  </si>
  <si>
    <t>2M 12X IR Bullet with Sprinx Pedestrian, Stopped Vehicle Detection</t>
  </si>
  <si>
    <t>Wisenet X powered by Wisenet 5 network IR outdoor vandal bullet camera with Pedestrian, Stopped Vehicle Detection Edge based app,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</si>
  <si>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XNO-6120R/TF</t>
  </si>
  <si>
    <t>2M 12X IR Bullet with Sprinx Traffic Flow</t>
  </si>
  <si>
    <t>Wisenet X powered by Wisenet 5 network IR outdoor vandal bullet camera with Traffic Flow Edge based app with 32GB SD Card Included,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</si>
  <si>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XNO-6120R-V/AID</t>
  </si>
  <si>
    <t>2M 12X IR Bullet with Sprinx Automatic Incident Detection</t>
  </si>
  <si>
    <t>Wisenet X powered by Wisenet 5 network IR outdoor vandal bullet camera with Automatic Incident Detection Edge based app with 32GB SD Card Included,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</si>
  <si>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XNO-6120R-V/PSD</t>
  </si>
  <si>
    <t>Wisenet X powered by Wisenet 5 network IR outdoor vandal bullet camera with Pedestrian, Stopped Vehicle Detection Edge based app with 32GB SD Card Included,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</si>
  <si>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XNO-6120R-V/TD</t>
  </si>
  <si>
    <t>Wisenet X powered by Wisenet 5 network IR outdoor vandal bullet camera with Traffic Data Edge based app with 32GB SD Card Included,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</si>
  <si>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XNO-L6080R/FNP</t>
  </si>
  <si>
    <t>2MP IR Bullet with FF Group ANPR app</t>
  </si>
  <si>
    <t>Wisenet X powered by Wisenet 5 network IR indoor dome camera with FF Roadway ANPR, 2MP @60fps, 3.2 ~ 10.0mm motorized vari-focal lens (3.1x) (109.0°~33.2°), triple codec H.265/H.264/MJPEG with WiseStream II, Multiple streaming, 120dB WDR,  True Day &amp; Night (ICR), IR viewable length 20m,  Tampering, Defocus detection, Motion Detection, Fog detection, Hallway View, HLC, Digital Image Stabilization, single SD/SDHC/SDXC slot, USB port for easy installation, IK08, PoE</t>
  </si>
  <si>
    <t>XNO-L6080R-V/FNP</t>
  </si>
  <si>
    <t>XNO-L6080R/FSNP</t>
  </si>
  <si>
    <t>Wisenet X powered by Wisenet 5 network IR outdoor vandal bullet camera with FF Roadway Serverless ANPR, 2MP @60fps, Full HD(1080p), 3.2 ~ 10mm motorized vari-focal lens (3.1x) (109°~33.2°), triple codec H.265/H.264/MJPEG with WiseStream II, Multiple streaming, 120dB WDR, True Day &amp; Night (ICR), IR viewable length 30m, Tampering, Defocus detection, Motion Detection, Fog detection, Hallway View, HLC, Digital Image Stabilization, single SD/SDHC/SDXC slot, USB port for easy installation, IP66, IK10, PoE</t>
  </si>
  <si>
    <t>XNO-L6080R-V/FSNP</t>
  </si>
  <si>
    <t>2MP 32X PTZ</t>
  </si>
  <si>
    <t>XNP-6320HS</t>
  </si>
  <si>
    <t>Wisenet X powered by Wisenet 5 network stainless steel PTZ camera, 2MP @ 60fps, Full HD(1080p), 32X optical zoom lens (4.44mm ~142.6mm) (61.8º ~ 2.19º), 360° Endless Pan range, 700°/sec Pan speed, Tilt: -15°~ 195°, triple codec H.265/H.264/MJPEG with WiseStream II, Multiple streaming, 150dB WDR, True Day &amp; Night (ICR), Advanced Video Analytics and Sound Classification, Motion detection, Tampering, Fog detection, Defocus detection, Auto-tracking, HLC, Digital Image Stabilization with Built-in Gyro sensor, Bi-directional audio and dual SD/SDHC/SDXC slot, USB port for easy installation,  IP67, IP66, NEMA4X, IK10, Heater on -50°C 24VAC, PoE+/24VAC</t>
  </si>
  <si>
    <t xml:space="preserve">Q series network stainless steel PTZ camera, 2MP @ 30fps, Full HD (1080p), 32X optical zoom lens (4.44mm ~142.6mm), 360° Endless Pan range, 700°/sec Pan speed, H.265/H.264/MJPEG with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</si>
  <si>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2MP 32x IR Outdoor PTZ</t>
  </si>
  <si>
    <t>Wisenet X powered by Wisenet 5 network IR outdoor PTZ camera, 2MP @60fps, 32X Optical Zoom Lens (4.44 ~ 142.6mm) (61.8º ~ 2.19º), 360° Endless Pan range, 400°/sec Pan speed, Tilt: -5° ~ 90°, triple codec H.265/H.264/MJPEG with WiseStream II, Multiple streaming, 150dB WDR, True Day &amp; Night (ICR), IR viewable length 200m, Intelligent Video Analytics and Sound classification, Shock Detection, Azimuth display (Cardinal &amp; intermediate directions), Motion detection, Fog detection, Tampering, Auto-tracking, Digital Image Stabilization with Built-in Gyro sensor, Bi-directional audio and dual SD/SDHC/SDXC slot, IP66, IK10, HPoE/24VAC</t>
  </si>
  <si>
    <t>XNP-6400R    
XNP-6400RW</t>
  </si>
  <si>
    <r>
      <rPr>
        <rFont val="Arial"/>
        <color rgb="FF000000"/>
        <sz val="12.0"/>
      </rPr>
      <t xml:space="preserve">Wisenet X powered by </t>
    </r>
    <r>
      <rPr>
        <rFont val="Arial"/>
        <b/>
        <color rgb="FF000000"/>
        <sz val="12.0"/>
      </rPr>
      <t>Wisenet 7</t>
    </r>
    <r>
      <rPr>
        <rFont val="Arial"/>
        <color rgb="FF000000"/>
        <sz val="12.0"/>
      </rPr>
      <t xml:space="preserve"> network outdoor PTZ camera, 2MP @60fps, 40X Optical Zoom Lens (4.25 ~ 170mm) (65.66º ~ 1.88º), 360° Endless Pan range, 700°/sec Pan speed, Tilt: -20° ~ 90°, triple codec H.265/H.264/MJPEG with WiseStream II, Multiple streaming, </t>
    </r>
    <r>
      <rPr>
        <rFont val="Arial"/>
        <b/>
        <color rgb="FF000000"/>
        <sz val="12.0"/>
      </rPr>
      <t>extreme WDR (150dB)</t>
    </r>
    <r>
      <rPr>
        <rFont val="Arial"/>
        <color rgb="FF000000"/>
        <sz val="12.0"/>
      </rPr>
      <t xml:space="preserve">, True Day &amp; Night (ICR), Intelligent Video Analytics, Motion detection, Fog detection, Tampering, Object auto tracking(Person/Vehicle), Target lock tracking, Digital Image Stabilization with Built-in Gyro sensor, 2x Micro SD/SDHC/SDXC slots up to 1TB, IP66, IK10, NEMA4X, NEMA-TS2, HPoE
</t>
    </r>
    <r>
      <rPr>
        <rFont val="Arial"/>
        <i/>
        <color rgb="FF000000"/>
        <sz val="12.0"/>
      </rPr>
      <t>* Alarm outputs, Audio detection, Sound classification(with NW I/O Box which can be purchased separately)</t>
    </r>
  </si>
  <si>
    <t>2MP 32X Outdoor PTZ</t>
  </si>
  <si>
    <t>XNP-6370RH</t>
  </si>
  <si>
    <t>2MP 37x IR PTZ</t>
  </si>
  <si>
    <t>Wisenet X network IR outdoor PTZ camera, 2MP @60fps, 37X Optical Zoom Lens (6 ~ 222mm) (59.3º ~ 1.9º), 360° Endless Pan range, 400°/sec Pan speed, Tilt: -5° ~ 185°, triple codec H.265/H.264/MJPEG with WiseStream, Multiple streaming, 120dB WDR, True Day &amp; Night (ICR), IR viewable length 350m, Intelligent Video Analytics, Motion detection, Fog detection, Tampering, Auto-tracking, Digital Image Stabilization with Built-in Gyro sensor, Bi-directional audio and SD/SDHC/SDXC slot, IP66, IK10, 24VAC</t>
  </si>
  <si>
    <t>XNP-6371RH</t>
  </si>
  <si>
    <t>X series powered by Wisenet 5 network IR outdoor PTZ camera, 2MP @60fps, 37X Optical Zoom Lens (6 ~ 222mm) (59.3º ~ 1.9º), 360° Endless Pan range, 400°/sec Pan speed, Tilt: -5° ~ 185°, triple codec H.265/H.264/MJPEG with WiseStream, Multiple streaming, 150dB WDR, True Day &amp; Night (ICR), IR viewable length 350m, Intelligent Video Analytics, Motion detection, Fog detection, Tampering, Auto-tracking, Digital Image Stabilization with Built-in Gyro sensor, Bi-directional audio and SD/SDHC/SDXC slot, IP66, IK10, 24VAC</t>
  </si>
  <si>
    <t>XNV-6080RS</t>
  </si>
  <si>
    <t>Wisenet X powered by Wisenet 5 network IR outdoor stainless steel vandal dome camera,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IP67/IP66, IK10, Nema 4X, PoE/12VDC/24VAC</t>
  </si>
  <si>
    <t>XNV-8080RS</t>
  </si>
  <si>
    <t>Wisenet X powered by Wisenet 5 network IR outdoor stainless steel vandal dome camera, 5MP @30fps, 3.9 ~ 9.4mm motorized vari-focal lens (2.4x) (92.1°~38.7°), triple codec H.265/H.264/MJPEG with WiseStream II, Multiple streaming, 120dB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 IK10, Nema 4X, PoE/12VDC/24VAC</t>
  </si>
  <si>
    <t>XNZ-6320</t>
  </si>
  <si>
    <t>Wisenet X powered by Wisenet 5 network zoom box camera, 2MP @60fps, 4.44 ~ 142.6mm optical zoom lens (32x) (61.8º ~ 2.19º), triple codec H.265/H.264/MJPEG with WiseStream II, Multiple streaming, 150dB WDR, True Day &amp; Night (ICR), Sfps slot, Advanced Video Analytics and Sound Classification, Hallway View, Motion detection, Fog detection, HLC, Digital Image Stabilization with built-in Gyro sensor, Bi-directional audio and dual SD/SDHC/SDXC slot, USB port for easy installation, PoE/12VDC</t>
  </si>
  <si>
    <t>Wisenet X powered by Wisenet 5 network zoom box camera, 2MP @60fps, 4.44 ~ 142.6mm optical zoom lens (32x) (61.8º ~ 2.19º), triple codec H.265/H.264/MJPEG with WiseStream II, Multiple streaming, 120dB WDR, True Day &amp; Night (ICR), Advanced Video Analytics and Sound Classification, Motion detection, Fog detection, HLC, Digital Image Stabilization, Bi-directional audio and  SD/SDHC/SDXC slot, USB port for easy installation, PoE/12VDC</t>
  </si>
  <si>
    <t>XRN-1610-2TB</t>
  </si>
  <si>
    <t>16CH 4K 180Mbps NVR - 2TB HDD</t>
  </si>
  <si>
    <t>16CH 4K NVR, 16CH @12MP each, triple codec H.265/H.264/MJPEG with WiseStream technology, 180Mbps network camera recording, ARB (Automatic Recovery Backup), up to 8 fixed internal SATA HDD (48TB max), e-SATA/iSCSI storage, HDMI, VGA local dual monitor, SUNAPI, ONVIF, 2TB HDD included</t>
  </si>
  <si>
    <t>XRN-1610A-2TB</t>
  </si>
  <si>
    <t>XRN-1610A</t>
  </si>
  <si>
    <t>16CH 4K 180Mbps 8 Bay NVR</t>
  </si>
  <si>
    <t>16CH 4K NVR, 16CH @12MP each, triple codec H.265/H.264/MJPEG with WiseStream technology, 180Mbps network camera recording, ARB (Automatic Recovery Backup), up to 8 fixed internal SATA HDD (48TB max), e-SATA/iSCSI storage, HDMI, VGA local dual monitor, SUNAPI, ONVIF, Easy configuration (Setup Wizard, P2P), no HDD included</t>
  </si>
  <si>
    <t>X series 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No HDD included</t>
  </si>
  <si>
    <t>XRN-1610A-1TB</t>
  </si>
  <si>
    <t>16CH 4K 180Mbps 8 Bay NVR - 1TB HDD</t>
  </si>
  <si>
    <t>16CH 4K NVR, 16CH @12MP each, triple codec H.265/H.264/MJPEG with WiseStream technology, 180Mbps network camera recording, ARB (Automatic Recovery Backup), up to 8 fixed internal SATA HDD (48TB max), e-SATA/iSCSI storage, HDMI, VGA local dual monitor, SUNAPI, ONVIF, Easy configuration (Setup Wizard, P2P), 1TB HDD included</t>
  </si>
  <si>
    <t>XRN-1620B2-2TB-S</t>
  </si>
  <si>
    <t>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no HDD included</t>
  </si>
  <si>
    <t>16CH 4K 180Mbps 8 Bay NVR - 2TB HDD</t>
  </si>
  <si>
    <t>16CH 4K NVR, 16CH @12MP each, triple codec H.265/H.264/MJPEG with WiseStream technology, 180Mbps network camera recording, ARB (Automatic Recovery Backup), up to 8 fixed internal SATA HDD (48TB max), e-SATA/iSCSI storage, HDMI, VGA local dual monitor, SUNAPI, ONVIF, Easy configuration (Setup Wizard, P2P), 2TB HDD included</t>
  </si>
  <si>
    <t>XRN-1610P</t>
  </si>
  <si>
    <t>16CH 4K 180Mbps NVR</t>
  </si>
  <si>
    <t>16CH 4K NVR, 16CH @12MP each, triple codec H.265/H.264/MJPEG with WiseStream technology, 180Mbps network camera recording, ARB (Automatic Recovery Backup), up to 8 fixed internal SATA HDD (48TB max), e-SATA/iSCSI storage, HDMI, VGA local dual monitor, SUNAPI, ONVIF, no HDD included</t>
  </si>
  <si>
    <t>XRN-1610P-1TB</t>
  </si>
  <si>
    <t>16CH 4K 180Mbps NVR - 1TB HDD</t>
  </si>
  <si>
    <t>16CH 4K NVR, 16CH @12MP each, triple codec H.265/H.264/MJPEG with WiseStream technology, 180Mbps network camera recording, ARB (Automatic Recovery Backup), up to 8 fixed internal SATA HDD (48TB max), e-SATA/iSCSI storage, HDMI, VGA local dual monitor, SUNAPI, ONVIF, 1TB HDD included</t>
  </si>
  <si>
    <t>XRN-1610S</t>
  </si>
  <si>
    <t>16CH 4K 180Mbps PoE+ NVR</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</si>
  <si>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no HDD included</t>
  </si>
  <si>
    <t>XRN-1610SA</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</si>
  <si>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Easy configuration (Setup Wizard, P2P), no HDD included</t>
  </si>
  <si>
    <t>XRN-1610S-1TB</t>
  </si>
  <si>
    <t>16CH 4K 180Mbps PoE+ NVR - 1TB HDD</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</si>
  <si>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1TB HDD included</t>
  </si>
  <si>
    <t>XRN-1610SA-1TB</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</si>
  <si>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Easy configuration (Setup Wizard, P2P), 1TB HDD included</t>
  </si>
  <si>
    <t>XRN-1610S-2TB</t>
  </si>
  <si>
    <t>16CH 4K 180Mbps PoE+ NVR - 2TB HDD</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</si>
  <si>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2TB HDD included</t>
  </si>
  <si>
    <t>XRN-1610SA-2TB</t>
  </si>
  <si>
    <t>16CH 4K NVR, 16CH @12MP each, triple codec H.265/H.264/MJPEG with WiseStream technology, 180Mbps network camera recording, Plug &amp; play by 16 PoE/PoE+ Ports, ARB (Automatic Recovery Backup), up to 4 fixed internal SATA HDD (24TB max), e-SATA/iSCSI storage, HDMI, VGA local dual monitor, SUNAPI, ONVIF, Easy configuration (Setup Wizard, P2P), 2TB HDD included</t>
  </si>
  <si>
    <t>16CH 4K 180Mbps 4 Bay PoE+ NVR</t>
  </si>
  <si>
    <t>X series 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No HDD included</t>
  </si>
  <si>
    <t>16CH 4K 180Mbps 4 Bay PoE+ NVR - 1TB HDD</t>
  </si>
  <si>
    <t>XRN-1620SB1-2TB-S</t>
  </si>
  <si>
    <t>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2TB Seagate SKyHawk HDD included (ST2000VX008)</t>
  </si>
  <si>
    <t>16CH 4K 180Mbps 4 Bay PoE+ NVR - 2TB HDD</t>
  </si>
  <si>
    <t>16CH 32MP NVR, triple codec H.265/H.264/MJPEG compression, 140Mbps network camera recording / 32Mbps playback throughput, ARB (Automatic Recovery Backup) &amp; Failover (N+1), up to 8 SATA HDD (80TB max), HDMI local dual monitor, SUNAPI, ONVIF, Easy configuration (P2P), AI search support when working with Wisenet AI camera, 4TB Seagate SKyHawk HDD included (ST4000VX007)</t>
  </si>
  <si>
    <t>XRN-2010-1TB</t>
  </si>
  <si>
    <t>32CH 4K 256Mbps NVR - 1TB HDD</t>
  </si>
  <si>
    <t>32CH 4K NVR, 32CH @12MP each, triple codec H.265/H.264/MJPEG with WiseStream technology, 256Mbps network camera recording, ARB (Automatic Recovery Backup) &amp; failover (N+1), up to 8 fixed internal SATA HDD (48TB max), e-SATA/iSCSI storage, HDMI, VGA local dual monitor, SUNAPI, ONVIF, 1TB HDD included</t>
  </si>
  <si>
    <t>XRN-2010A-1TB</t>
  </si>
  <si>
    <t>32CH 4K NVR, 32CH @12MP each, triple codec H.265/H.264/MJPEG with WiseStream technology, 256Mbps network camera recording, ARB (Automatic Recovery Backup) &amp; Failover (N+1), up to 8 fixed internal SATA HDD (48TB max), e-SATA/iSCSI storage, HDMI, VGA local dual monitor, SUNAPI, ONVIF, Easy configuration (Setup Wizard, P2P), no HDD included</t>
  </si>
  <si>
    <t>XRN-2010A</t>
  </si>
  <si>
    <t>32CH 4K 256Mbps 8 Bay NVR</t>
  </si>
  <si>
    <t xml:space="preserve">XRN-3210B2
XRN-3210B4
</t>
  </si>
  <si>
    <t>32CH 32MP NVR, triple codec H.265/H.264/MJPEG compression, 400Mbps network camera recording / 64Mbps playback throughput, ARB (Automatic Recovery Backup) &amp; Failover (N+1), up to 16 SATA HDD (160TB max), iSCSI storage, RAID-5/6 support, HDMI local dual monitor, SUNAPI, ONVIF, Easy configuration (P2P), AI search support when working with Wisenet AI camera, no HDD included</t>
  </si>
  <si>
    <t>XRN-2011-1TB</t>
  </si>
  <si>
    <t>32CH 4K 256Mbps NVR w/ RAID5 - 1TB HDD</t>
  </si>
  <si>
    <t>32CH 4K NVR, 32CH @12MP each, triple codec H.265/H.264/MJPEG with WiseStream technology, 256Mbps network camera recording, ARB (Automatic Recovery Backup) &amp; failover (N+1), up to 8 front hot swap SATA HDD (48TB max), e-SATA/iSCSI storage, RAID-5, HDMI, VGA local dual monitor, SUNAPI, ONVIF, 1TB HDD included</t>
  </si>
  <si>
    <t>XRN-2011A-1TB</t>
  </si>
  <si>
    <t>XRN-2011A</t>
  </si>
  <si>
    <t>32CH 4K 256Mbps 8 Bay NVR w/ RAID5</t>
  </si>
  <si>
    <t>32CH 4K NVR, 32CH @12MP each, triple codec H.265/H.264/MJPEG with WiseStream technology, 256Mbps network camera recording, ARB (Automatic Recovery Backup) &amp; failover (N+1), up to 8 front hot swap SATA HDD (48TB max), e-SATA/iSCSI storage, RAID-5, HDMI, VGA local dual monitor, SUNAPI, ONVIF, Easy configuration (Setup Wizard, P2P), no HDD included</t>
  </si>
  <si>
    <t>XRN-3210RB2</t>
  </si>
  <si>
    <t>X series 32CH 32MP NVR, triple codec H.265/H.264/MJPEG compression, 400Mbps network camera recording / 64Mbps playback throughput, ARB (Automatic Recovery Backup) &amp; Failover (N+1), up to 8 SATA HDD (80TB max), iSCSI storage, RAID-5/6 support, HDMI local dual monitor, SUNAPI, ONVIF, Easy configuration (P2P), AI search support when working with Wisenet AI camera, No HDD included</t>
  </si>
  <si>
    <t>32CH 4K 256Mbps 8 Bay NVR w/ RAID5 - 1TB HDD</t>
  </si>
  <si>
    <t>32CH 4K NVR, 32CH @12MP each, triple codec H.265/H.264/MJPEG with WiseStream technology, 256Mbps network camera recording, ARB (Automatic Recovery Backup) &amp; failover (N+1), up to 8 front hot swap SATA HDD (48TB max), e-SATA/iSCSI storage, RAID-5, HDMI, VGA local dual monitor, SUNAPI, ONVIF, Easy configuration (Setup Wizard, P2P), 1TB HDD included</t>
  </si>
  <si>
    <t>XRN-3010</t>
  </si>
  <si>
    <t>32CH NVR</t>
  </si>
  <si>
    <t>64CH 4K NVR, 64CH @12MP each, triple codec H.265/H.264/MJPEG with WiseStream technology, 300Mbps network camera recording, ARB (Automatic Recovery Backup) &amp; failover (N+1), up to 8 fixed internalSATA HDD (64TB max), e-SATA storage, HDMI, VGA local dual monitor, SUNAPI, ONVIF, no HDD included</t>
  </si>
  <si>
    <t>XRN-3010A</t>
  </si>
  <si>
    <t>64CH 4K NVR, 64CH @12MP each, triple codec H.265/H.264/MJPEG with WiseStream technology, 300Mbps network camera recording, ARB (Automatic Recovery Backup) &amp; failover (N+1), up to 8 fixed internalSATA HDD (64TB max), e-SATA storage, HDMI, VGA local dual monitor, SUNAPI, ONVIF, Easy configuration (Setup Wizard, P2P), no HDD included</t>
  </si>
  <si>
    <t>XRN-3010-2TB</t>
  </si>
  <si>
    <t>32CH NVR - 2TB HDD</t>
  </si>
  <si>
    <t>64CH 4K NVR, 64CH @12MP each, triple codec H.265/H.264/MJPEG with WiseStream technology, 300Mbps network camera recording, ARB (Automatic Recovery Backup) &amp; failover (N+1), up to 8 fixed internal SATA HDD (64TB max), e-SATA storage, HDMI, VGA local dual monitor, SUNAPI, ONVIF, 2TB HDD included</t>
  </si>
  <si>
    <t>XRN-3010A-2TB</t>
  </si>
  <si>
    <t>64CH 8 Bay NVR</t>
  </si>
  <si>
    <t xml:space="preserve">XRN-6410B2
XRN-6410RB2
</t>
  </si>
  <si>
    <t>64CH 32MP NVR, triple codec H.265/H.264/MJPEG compression, 400Mbps network camera recording / 32Mbps playback throughput, ARB (Automatic Recovery Backup) &amp; Failover (N+1), up to 8 SATA HDD (80TB max), iSCSI storage, HDMI local dual monitor, SUNAPI, ONVIF, Easy configuration (P2P), AI search support when working with Wisenet AI camera, no HDD included</t>
  </si>
  <si>
    <t>64CH 8 Bay NVR - 2TB HDD</t>
  </si>
  <si>
    <t>64CH 4K NVR, 64CH @12MP each, triple codec H.265/H.264/MJPEG with WiseStream technology, 300Mbps network camera recording, ARB (Automatic Recovery Backup) &amp; failover (N+1), up to 8 fixed internalSATA HDD (64TB max), e-SATA storage, HDMI, VGA local dual monitor, SUNAPI, ONVIF, Easy configuration (Setup Wizard, P2P), 2TB HDD included</t>
  </si>
  <si>
    <t>XRN-410S</t>
  </si>
  <si>
    <t>4CH 4K NVR, 4CH @8MP each, triple codec H.265/H.264/MJPEG with WiseStream technology, 50Mbps network camera recording, Plug &amp; play by 4 PoE/PoE+ Ports, ARB (Automatic Recovery Backup), 1 fixed internal SATA HDD (6TB max), HDMI, VGA local monitor, SUNAPI, ONVIF, no HDD included</t>
  </si>
  <si>
    <t>X series 4CH 4K NVR, 4CH @8MP each, triple codec H.265/H.264/MJPEG with WiseStream technology, AI search features; 50Mbps network camera recording, Plug &amp; play by 4 PoE/PoE+ Ports, ARB (Automatic Recovery Backup), 1 fixed internal SATA HDD (6TB max), HDMI, VGA local monitor, SUNAPI, ONVIF, No HDD included</t>
  </si>
  <si>
    <t>XRN-410S-1TB</t>
  </si>
  <si>
    <t>4CH PoE+ NVR - 1TB HDD</t>
  </si>
  <si>
    <t>4CH 4K NVR, 4CH @8MP each, triple codec H.265/H.264/MJPEG with WiseStream technology, 50Mbps network camera recording, Plug &amp; play by 4 PoE/PoE+ Ports, ARB (Automatic Recovery Backup), 1 fixed internal SATA HDD (6TB max), HDMI, VGA local monitor, SUNAPI, ONVIF, 1TB HDD included</t>
  </si>
  <si>
    <t>XRN-420S-2TB-S</t>
  </si>
  <si>
    <t>4CH 4K NVR, 2TB HDD, 4CH @8MP each, triple codec H.265/H.264/MJPEG with WiseStream technology, AI search features; 50Mbps network camera recording, Plug &amp; play by 4 PoE/PoE+ Ports, ARB (Automatic Recovery Backup), 1 fixed internal SATA HDD (6TB max), HDMI, VGA local monitor, SUNAPI, ONVIF, no HDD included</t>
  </si>
  <si>
    <t>XRN-810S</t>
  </si>
  <si>
    <t>8CH 2 Bay PoE+ NVR</t>
  </si>
  <si>
    <t>8CH 4K NVR, 8CH @8MP each, triple codec H.265/H.264/MJPEG with WiseStream technology, 100Mbps network camera recording, Plug &amp; play by 8 PoE/PoE+ Ports, ARB (Automatic Recovery Backup), 2 fixed internal SATA HDD (12TB max), HDMI, VGA local monitor, SUNAPI, ONVIF, no HDD included</t>
  </si>
  <si>
    <t>X series 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No HDD included</t>
  </si>
  <si>
    <t>XRN-810S-1TB</t>
  </si>
  <si>
    <t>8CH 2 Bay PoE+ NVR - 1TB HDD</t>
  </si>
  <si>
    <t>8CH 4K NVR, 8CH @8MP each, triple codec H.265/H.264/MJPEG with WiseStream technology, 100Mbps network camera recording, Plug &amp; play by 8 PoE/PoE+ Ports, ARB (Automatic Recovery Backup), 2 fixed internal SATA HDD (12TB max), HDMI, VGA local monitor, SUNAPI, ONVIF, 1TB HDD included</t>
  </si>
  <si>
    <t>XRN-820S-2TB-S</t>
  </si>
  <si>
    <t>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2TB Seagate SKyHawk HDD included (ST2000VX008)</t>
  </si>
  <si>
    <t>XRN-810S-2TB</t>
  </si>
  <si>
    <t>8CH 2 Bay PoE+ NVR - 2TB HDD</t>
  </si>
  <si>
    <t>8CH 4K NVR, 8CH @8MP each, triple codec H.265/H.264/MJPEG with WiseStream technology, 100Mbps network camera recording, Plug &amp; play by 8 PoE/PoE+ Ports, ARB (Automatic Recovery Backup), 2 fixed internal SATA HDD (12TB max), HDMI, VGA local monitor, SUNAPI, ONVIF, 2TB HDD included</t>
  </si>
  <si>
    <t>XRN-820S-1TB-S</t>
  </si>
  <si>
    <t>8CH 32MP 100Mbps 2 Bay PoE NVR - 1TB HDD</t>
  </si>
  <si>
    <t>8CH 32MP NVR, triple codec H.265/H.264/MJPEG compression, 100Mbps network camera recording / 32Mbps playback throughput, Plug &amp; play by 8 PoE Ports, ARB (Automatic Recovery Backup) &amp; Failover (N+1), up to 2 SATA HDD (12TB max), HDMI local dual monitor, SUNAPI, ONVIF, Easy configuration (P2P), AI search support when working with Wisenet AI camera, 1TB Seagate SKyHawk HDD included (ST1000VX005)</t>
  </si>
  <si>
    <t>XNV-6120RS</t>
  </si>
  <si>
    <t>2M 12X IR Stainless steel Dome</t>
  </si>
  <si>
    <t>Wisenet X powered by Wisenet 5 network IR outdoor stainless steel vandal dome camera, 2MP @60fps, Full HD(1080p), 5.2 ~ 62.4mm optical zoom lens (12x) (54.58°~5.30°), triple codec H.265/H.264/MJPEG with WiseStream II, Multiple streaming, 150dB WDR, True Day &amp; Night (ICR), High Powered IR LEDs with IR viewable length 70m, Advanced Video Analytics and Sound Classification, Hallway View, Motion detection, Fog detection, HLC, Handover, Digital Image Stabilization with built-in Gyro Sensor, Bi-directional audio and dual microSD/SDHC/SDXC slot, USB port for easy installation, IP67, IK10, Nema 4X, PoE/12VDC/24VAC</t>
  </si>
  <si>
    <t>SBM-3232</t>
  </si>
  <si>
    <t>Monitor Stand Compatible with SMT-3233</t>
  </si>
  <si>
    <t>Monitor Stand Compatible with SMT-4343, 3234, 3240</t>
  </si>
  <si>
    <t>QNE-8021R</t>
  </si>
  <si>
    <t>QNE-8011R / QNE-C8013RL</t>
  </si>
  <si>
    <t>Wisenet Q Core network IR outdoor vandal flateye camera, 5MP, White LED, Wise MD</t>
  </si>
  <si>
    <t>WRN-810S-4CH/4TB-HDV2</t>
  </si>
  <si>
    <t>WRN-810S-8CH/4TB-HDV2</t>
  </si>
  <si>
    <t>HDD2TBSG-KIT</t>
  </si>
  <si>
    <t>Seagate SkyHawk HDD 2TB (ST2000VX008)</t>
  </si>
  <si>
    <t>Seagate SkyHawk 2TB 3.5" Surveillance HDD drive for use in NVR/DVR, SATA 6Gb/s, 1 M hours MTBF, Worlkload rate limit 180TB/year, SkyHawk Health Management, 3-year limited warranty (ST2000VX008)</t>
  </si>
  <si>
    <t>HDD2TBSGv2-KIT</t>
  </si>
  <si>
    <t>Seagate SkyHawk 2TB 3.5" Surveillance HDD for use in NVR/DVR, SATA 6Gb/s, max. sustained transfer rate 180MB/s, cache 256MB, average operating/idle power 3.7W/2.5W, MTBF 1m hours, WRL 180TB/year, SkyHawk Health Management and Rescue Data Recovery Services, 3-year limited warranty (ST2000VX015)</t>
  </si>
  <si>
    <t>HDD3TBSG-KIT</t>
  </si>
  <si>
    <t>Seagate SkyHawk HDD 3TB (ST3000VX009)</t>
  </si>
  <si>
    <t>Seagate SkyHawk 3TB 3.5" Surveillance HDD drive for use in NVR/DVR, SATA 6Gb/s, 1 M hours MTBF, Worlkload rate limit 180TB/year, SkyHawk Health Management, 3-year limited warranty (ST3000VX009)</t>
  </si>
  <si>
    <t>HDD3TBSGv2-KIT</t>
  </si>
  <si>
    <t>Seagate SkyHawk 3TB 3.5" Surveillance HDD for use in NVR/DVR, SATA 6Gb/s, max. sustained transfer rate 180MB/s, cache 256MB, average operating/idle power 3.7W/2.5W, MTBF 1m hours, WRL 180TB/year, SkyHawk Health Management and Rescue Data Recovery Services, 3-year limited warranty (ST3000VX015)</t>
  </si>
  <si>
    <t>HDD4TBSG-KIT</t>
  </si>
  <si>
    <t>Seagate SkyHawk HDD 4TB (ST4000VX007)</t>
  </si>
  <si>
    <t>Seagate SkyHawk 4TB 3.5" Surveillance HDD drive for use in NVR/DVR, SATA 6Gb/s, 1 M hours MTBF, Worlkload rate limit 180TB/year, SkyHawk Health Management, 3-year limited warranty (ST4000VX007)</t>
  </si>
  <si>
    <t>HDD4TBSGv2-KIT</t>
  </si>
  <si>
    <t>Seagate SkyHawk 4TB 3.5" Surveillance HDD for use in NVR/DVR, SATA 6Gb/s, max. sustained transfer rate 180MB/s, cache 256MB, average operating/idle power 3.7W/2.5W, MTBF 1m hours, WRL 180TB/year, SkyHawk Health Management and Rescue Data Recovery Services, 3-year limited warranty (ST4000VX016)</t>
  </si>
  <si>
    <t>HDD2TBSG</t>
  </si>
  <si>
    <t>Seagate SkyHawk HDD 2TB (ST2000VX008)
Box of 20 pcs</t>
  </si>
  <si>
    <t>Seagate SkyHawk 2TB 3.5" Surveillance HDD drive for use in NVR/DVR, SATA 6Gb/s, 1 M hours MTBF, Worlkload rate limit 180TB/year, SkyHawk Health Management, 3-year limited warranty (ST2000VX008). Must be purchased in boxes of 20 units.</t>
  </si>
  <si>
    <t>HDD2TBSGv2</t>
  </si>
  <si>
    <t>Seagate SkyHawk 2TB 3.5" Surveillance HDD for use in NVR/DVR, SATA 6Gb/s, max. sustained transfer rate 180MB/s, cache 256MB, average operating/idle power 3.7W/2.5W, MTBF 1m hours, WRL 180TB/year, SkyHawk Health Management and Rescue Data Recovery Services, 3-year limited warranty (ST2000VX015). Must be purchased in boxes of 20 units.</t>
  </si>
  <si>
    <t>HDD3TBSG</t>
  </si>
  <si>
    <t>Seagate SkyHawk HDD 3TB (ST3000VX009)
Box of 20 pcs</t>
  </si>
  <si>
    <t>Seagate SkyHawk 3TB 3.5" Surveillance HDD drive for use in NVR/DVR, SATA 6Gb/s, 1 M hours MTBF, Worlkload rate limit 180TB/year, SkyHawk Health Management, 3-year limited warranty (ST3000VX009). Must be purchased in boxes of 20 units.</t>
  </si>
  <si>
    <t>HDD3TBSGv2</t>
  </si>
  <si>
    <t>Seagate SkyHawk 3TB 3.5" Surveillance HDD for use in NVR/DVR, SATA 6Gb/s, max. sustained transfer rate 180MB/s, cache 256MB, average operating/idle power 3.7W/2.5W, MTBF 1m hours, WRL 180TB/year, SkyHawk Health Management and Rescue Data Recovery Services, 3-year limited warranty (ST3000VX015). Must be purchased in boxes of 20 units.</t>
  </si>
  <si>
    <t>HDD4TBSG</t>
  </si>
  <si>
    <t>Seagate SkyHawk HDD 4TB (ST4000VX007)
Box of 20 pcs</t>
  </si>
  <si>
    <t>Seagate SkyHawk 4TB 3.5" Surveillance HDD drive for use in NVR/DVR, SATA 6Gb/s, 1 M hours MTBF, Worlkload rate limit 180TB/year, SkyHawk Health Management, 3-year limited warranty (ST4000VX007). Must be purchased in boxes of 20 units.</t>
  </si>
  <si>
    <t>HDD4TBSGv2</t>
  </si>
  <si>
    <t>Seagate SkyHawk 4TB 3.5" Surveillance HDD for use in NVR/DVR, SATA 6Gb/s, max. sustained transfer rate 180MB/s, cache 256MB, average operating/idle power 3.7W/2.5W, MTBF 1m hours, WRL 180TB/year, SkyHawk Health Management and Rescue Data Recovery Services, 3-year limited warranty (ST4000VX016). Must be purchased in boxes of 20 units.</t>
  </si>
  <si>
    <t>SPD-260B</t>
  </si>
  <si>
    <t>2 Monitor Decoder Board</t>
  </si>
  <si>
    <t>2 Monitor Decoder Board for SPD-1660R, Max. 16 monitors (HDMI 16ea / VGA 16ea), Max. 4K resolution, triple codec H.265, H.264, MJPEG support, Video decoding up to 12MP resolution camera, Up to 20 Layout sequence per each monitor, Manage using SSM and web viewer</t>
  </si>
  <si>
    <t>SPN-10080PM</t>
  </si>
  <si>
    <t>9 port PoE switch for mobiles (M12)</t>
  </si>
  <si>
    <t>Network Switch</t>
  </si>
  <si>
    <t>Mobile PoE switch 8 ports (M12 D-code) + 2 uplink ports (M12 A-code), PoE budget 64W, Camera PoE extender for TRM-1610M, Camera PoE extender for TRM-1610S (SPN-10080P), fan less design, 9-36VDC, -40°F ~ +167°F</t>
  </si>
  <si>
    <t>SPN-10080P</t>
  </si>
  <si>
    <t>8 port PoE switch for mobiles (RJ45)</t>
  </si>
  <si>
    <t>Mobile PoE switch 8 ports (RJ-45) + 2 uplink ports (RJ-45), PoE budget 64W, Camera PoE extender for TRM-1610S, fan less design, 9-36VDC, -40°F ~ +167°F</t>
  </si>
  <si>
    <t>27" Full HD LED Monitor</t>
  </si>
  <si>
    <t>27" LED Monitor, 1080p (1920x1080), 250nit, 16:9 aspect ratio, Contrast ratio 1,000:1, Response time 5ms, HDMI, VGA, Freesync, Response time 4ms, VESA Compatible (75x75mm)</t>
  </si>
  <si>
    <t>LF27T350FHRXEN</t>
  </si>
  <si>
    <t>27" FHD LED Monitor, 1080p (1920x1080), 250nit, 16:9 aspect ratio, Contrast ratio 1,000:1, Response time 5ms, HDMI, VGA, Freesync, Response time 4ms, VESA Compatible (75x75mm)</t>
  </si>
  <si>
    <t>LF24T450FZUXEN</t>
  </si>
  <si>
    <t>23.8" Full HD LED Monitor</t>
  </si>
  <si>
    <t>23.8" LED Monitor, 1080p (1920x1080), 250nit, 16:9 aspect ratio, Contrast ratio 1,000:1, Response time 4ms, HDMI, DVI, DisplayPort, USB 3.0, Speakers, HAS</t>
  </si>
  <si>
    <t>LF24T450FQRXEN</t>
  </si>
  <si>
    <t>24" FHD LED Monitor, 1080p (1920x1080), 250nit, 16:9 aspect ratio, Contrast ratio 1,000:1, Response time 4ms, HDMI, DVI, DisplayPort, USB 3.0, Speakers, HAS</t>
  </si>
  <si>
    <t>32" LED Monitor, 1080p (1920x1080), 250nit, 16:9 aspect ratio, Contrast ratio 5,000:1, Response time 8ms, HDMI, HDCP2.2 VGA</t>
  </si>
  <si>
    <t>LH32QMRBBGCXEN</t>
  </si>
  <si>
    <t>LH55VMTUBGBXEN</t>
  </si>
  <si>
    <t>55" Samsung Videowall Monitor, 1080p (1920x1080), Super Thin Bezel (3.5mm), 500nit, 16:9 aspect ratio, Contrast ratio 4,000:1, Response time 8ms, DVI-D, 2xHDMI, VGA, Display Port, VESA Compatible (600x400mm)</t>
  </si>
  <si>
    <t>55'' Direct LED Videowall Monitor</t>
  </si>
  <si>
    <t>LH55VMBEBGBXEN</t>
  </si>
  <si>
    <t>55" Direct FHD LED Samsung Videowall Monitor, 1080p (1920x1080), Ultra Thin Bezel (Bezel to Bezel 1.7mm), 500nit, 16:9 aspect ratio, Contrast ratio 1200:1, 2xHDMI 2.0, 1x1.2 Display Port,WMN-55VD; 4K Daisy Chain, VESA Compatible (600x400mm)</t>
  </si>
  <si>
    <t>LH55VHBEBGBXEN</t>
  </si>
  <si>
    <t>55" Direct FHD LED Samsung Videowall Monitor, 1080p (1920x1080), Ultra Thin Bezel (Bezel to Bezel 1.7mm), 700nit, 16:9 aspect ratio, Contrast ratio 1200:1, 2xHDMI 2.0, 1x1.2 Display Port,WMN-55VD; 4K Daisy Chain, VESA Compatible (600x400mm)</t>
  </si>
  <si>
    <t>Controller - Network</t>
  </si>
  <si>
    <t>SPC-2000</t>
  </si>
  <si>
    <t>Controller, USB 3D joystick</t>
  </si>
  <si>
    <t>SPB-PTZ7</t>
  </si>
  <si>
    <t>Smoked Dome Cover for Outdoor PTZ: XNP-6320H/QNP-6230H/SNP-6321H/6320H/5430H/5321H/SNP-L62333H/L5233H, SCP-3371H/2373H/2371H/2273H/2271H</t>
  </si>
  <si>
    <t>SPB-PTZ71</t>
  </si>
  <si>
    <t>Smoked Dome Cover for XNP-6040H</t>
  </si>
  <si>
    <t>SPB-IND83</t>
  </si>
  <si>
    <t>Smoked Dome Cover for XND-6085V</t>
  </si>
  <si>
    <t>SPB-IND83V</t>
  </si>
  <si>
    <t>SHD-3000F2</t>
  </si>
  <si>
    <t>Polycarbonate In-ceiling Flush Mount for Indoor dome cameras. Compatible with  QND-7080R/6070R, HCD-7070R/7080R/7080RV/6070R/6080R, SND-L6083R/L5083R, SCD-5080/5082/5083/5083R, Ivory</t>
  </si>
  <si>
    <t>SHD-3000FW3</t>
  </si>
  <si>
    <t>Polycarbonate In-ceiling Flush Mount for Outdoor dome cameras. Compatible with QNV-8080R, QNV-6082R, White</t>
  </si>
  <si>
    <t>SAMSUNG-MB-MC128KA</t>
  </si>
  <si>
    <t>microSD card 128GB</t>
  </si>
  <si>
    <t>XRN-815S-2TB-S</t>
  </si>
  <si>
    <t>8CH 12MP 100Mbps 2 Bay PoE NVR - 2TB HDD</t>
  </si>
  <si>
    <t>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2TB Seagate SKyHawk HDD included (ST2000VX015)</t>
  </si>
  <si>
    <t>XRN-815S-3TB-S</t>
  </si>
  <si>
    <t>8CH 12MP 100Mbps 2 Bay PoE NVR - 3TB HDD</t>
  </si>
  <si>
    <t>8CH 12MP NVR, Triple codec H.265/H.264/MJPEG compression, AI Search: Object Attribute (When integrated with Wisenet AI Camera),100Mbps network camera recording, Plug &amp; play by 8 PoE(LAN, 10/100), 1PoE(WAN, 1Gbps), ARB (Automatic Recovery Backup) &amp; Failover (N+1), up to 2 SATA HDD (20TB max), HDMI local dual monitor, SUNAPI, ONVIF, Easy configuration (P2P), 3TB Seagate SKyHawk HDD included (ST3000VX015)</t>
  </si>
  <si>
    <t>SSM 1.x</t>
  </si>
  <si>
    <t>SSM-SM00l</t>
  </si>
  <si>
    <t>SSM Professional</t>
  </si>
  <si>
    <t>SSM 1.x Professional</t>
  </si>
  <si>
    <t>SSM-SM10l</t>
  </si>
  <si>
    <t>SSM Enterprise</t>
  </si>
  <si>
    <t>SSM 1.x Enterprise</t>
  </si>
  <si>
    <t>SSM-TS10L</t>
  </si>
  <si>
    <t>SSM 1.x Transaction server</t>
  </si>
  <si>
    <t>SSM-RS00L</t>
  </si>
  <si>
    <t>SSM Recording Server 16CH</t>
  </si>
  <si>
    <t>SSM 1.x Recording Server 16CH</t>
  </si>
  <si>
    <t>SSM-RS10L</t>
  </si>
  <si>
    <t>SSM Recording Server 36CH</t>
  </si>
  <si>
    <t>SSM 1.x Recording Server 36CH</t>
  </si>
  <si>
    <t>SSM-RS20L</t>
  </si>
  <si>
    <t>SSM Recording Server 72CH</t>
  </si>
  <si>
    <t>SSM 1.x Recording Server 72CH</t>
  </si>
  <si>
    <t>SSM-RS30L</t>
  </si>
  <si>
    <t>SSM Recording Server 128CH</t>
  </si>
  <si>
    <t>SSM 1.x Recording Server 128CH</t>
  </si>
  <si>
    <t>SSM-VM00L</t>
  </si>
  <si>
    <t>SSM Virtual Matrix (Decoder)</t>
  </si>
  <si>
    <t>SSM 1.x Virtual Matrix (Decoder)</t>
  </si>
  <si>
    <t>SSM-VM10L</t>
  </si>
  <si>
    <t>SSM Virtual Matrix</t>
  </si>
  <si>
    <t>SSM 1.x Virtual Matrix</t>
  </si>
  <si>
    <t>SSM-VM20L</t>
  </si>
  <si>
    <t>SSM Virtual Matrix 36 Monitors</t>
  </si>
  <si>
    <t>SSM 1.x Virtual Matrix 36 Monitors</t>
  </si>
  <si>
    <t>SSM-SC10L</t>
  </si>
  <si>
    <t>SSM Screen Capture</t>
  </si>
  <si>
    <t>SSM 1.x Screen Capture</t>
  </si>
  <si>
    <t>SSM-TC10L</t>
  </si>
  <si>
    <t>SSM Transcoding</t>
  </si>
  <si>
    <t>SSM 1.x Transcoding</t>
  </si>
  <si>
    <t>AITECH-INTRUSION-APP-1CH</t>
  </si>
  <si>
    <t>A.I. Tech Tripwire &amp; Intrusion Detection App 1CH licence</t>
  </si>
  <si>
    <t>A.I. Tech Tripwire &amp; Intrusion Detection App license. Can be added to XNO-6085R, XNO-8080R, XNO-8040R, XNO-8030R, XNO-8020R, XNO-6120R, XNO-6080R, XNO-6020R, XNO-6010R, XNO-L6080R, XNB-6005, XNB-8000, XNB-6000, TNO-4051T, TNO-4050T, TNO-4041T, TNO-4040T, TNO-4030T</t>
  </si>
  <si>
    <t>AITECH-LOST-APP-1CH</t>
  </si>
  <si>
    <t>A.I. Tech Abandoned/Removed Object Detection Edge App
1CH licence</t>
  </si>
  <si>
    <t>A.I. Tech Abandoned/Removed Object Detection App license. Can be added to XNO-6085R, XNO-8080R, XNO-8040R, XNO-8030R, XNO-8020R, XNO-6120R, XNO-6080R, XNO-6020R, XNO-6010R, XNO-L6080R, XNB-6005, XNB-8000, XNB-6000, TNO-4051T, TNO-4050T, TNO-4041T, TNO-4040T, TNO-4030T</t>
  </si>
  <si>
    <t>AITECH-ATM-APP-1CH</t>
  </si>
  <si>
    <t>A.I. Tech Edge App 1CH licence for Overcrowding and Loitering Detection near an ATM</t>
  </si>
  <si>
    <t>A.I. Tech App licence for Overcrowding and Loitering Detection near an ATM. Can be added to XNV-6080RS, XNV-6080R, XNV-6080, XNV-6022R, XNV-6022RM, XNV-6020R, XNV-6013M, XNV-6012, XNV-6012M, XNV-6011, XNV-6010, XND-8080RV, XND-8080R, XND-8040R, XND-8030R, XND-8020R, XND-8020F, XND-6080V, XND-6080RV, XND-6080R, XND-6080, XND-6020R, XND-6011F, XND-6010, XNV-L6080R, XNV-L6080, XND-L6080V, XND-L6080RV, XND-L6080R</t>
  </si>
  <si>
    <t>AITECH-PARKING-APP-1CH</t>
  </si>
  <si>
    <t>A.I. Tech Edge App 1CH licence for Parking Spaces Occupancy Estimation.</t>
  </si>
  <si>
    <t>A.I. Tech App license for Parking Spaces Occupancy Estimation. Can be added to XNO-6085R, XNO-8080R, XNO-8040R, XNO-8030R, XNO-8020R, XNO-6120R, XNO-6080R, XNO-6020R, XNO-6010R, XNO-L6080R, XNB-6005, XNB-8000, XNB-6000, TNO-4051T, TNO-4050T, TNO-4041T, TNO-4040T, TNO-4030T</t>
  </si>
  <si>
    <t>AITECH-DASH-BASIC-1CH</t>
  </si>
  <si>
    <t>A.I. Tech 1CH license for Basic version of AI-DASH-PRO</t>
  </si>
  <si>
    <t xml:space="preserve">A.I. Tech 1 channel license for Basic version of AI-DASH-PRO: personalization of the home page, tabular and graphical visualization of the data, tabular and graphical visualization of aggregated sensors and counters, forwarding of the events to 3rd party servers, data export in csv/jpeg/pdf. </t>
  </si>
  <si>
    <t>AITECH-DASH-PRO-1CH</t>
  </si>
  <si>
    <t>A.I. Tech 1CH license for Professional version of AI-DASH-PRO</t>
  </si>
  <si>
    <t xml:space="preserve">A.I. Tech 1 channel license for Professional version of AI-DASH-PRO: integration with weather data, conversion rate through the integration with the POS, comparison among different sites, comparison of a site in different time intervals, heatmap visualization and comparison. </t>
  </si>
  <si>
    <t>AITECH-DASH-ENTERPRISE-1CH</t>
  </si>
  <si>
    <t>A.I. Tech 1CH license for Enterprise version of AI-DASH-PRO</t>
  </si>
  <si>
    <t>A.I. Tech 1 channel license for Enterprise version of AI-DASH-PRO: integration with 3rd party systems through open API, periodic pdf reports exports, re-sync mechanism with the plugins on board of the cameras, device management on the map.</t>
  </si>
  <si>
    <t>SBL-100C</t>
  </si>
  <si>
    <t>Remote Head Camera Corner Mount Housing. Compatible with SLA-T2480, SLA-T2480A, SLA-T4680, SLA-T4680A, White</t>
  </si>
  <si>
    <t>SBP-201HMW</t>
  </si>
  <si>
    <t>Aluminum Hanging Mount for Multi-Directional Cameras. Compatible with PNM-9000VD, White</t>
  </si>
  <si>
    <t>SBP-276HM</t>
  </si>
  <si>
    <t>Aluminum Hanging Mount for Multi-Directional Cameras. Compatible with PNM-9000VQ/9030V, Ivory</t>
  </si>
  <si>
    <t>SHP-3701F</t>
  </si>
  <si>
    <t>Polycarbonate In-Ceiling Flush Mount for PTZ cameras. Compatible with XNP-6320, QNP-6320, HCP-6320/6320A, SCP-3370/2370/2330/2270/2250/3371/2371/2271, SNP-6200/5200/5300/3371/3302, Ivory</t>
  </si>
  <si>
    <t>SHP-3701FB</t>
  </si>
  <si>
    <t>Polycarbonate In-Ceiling Flush Mount (Tinted Bubble) for PTZ cameras. Compatible with XNP-6320, QNP-6230, HCP-6320/6320A, SCP-3430/3370/3250/2430/2370/2330/2270/2250/3371/2373/2371/2273/2271, SNP-5200/3371/3302/6321/6320/6201/6200/5430/5321/5320/5300/L6233/L5233, Ivory</t>
  </si>
  <si>
    <t>SBP-301HM3</t>
  </si>
  <si>
    <t>Aluminum Hanging Mount for PTZ cameras. Compatible with XNP-6320, QNP-6230, HCP-6230/6320/6320A, SCV-2120/ 2080R/ 3120/ 3080/ 2080/ 2060, SNV-7082/ 7080R/ 7080/ 5080R/ 5080/ 3120/ 3082, SCP-3371/ 2373/ 2371, / 2273/ 2271, SNP-6320/ 6321/ 6201/ 5430/ 5321/ L6233/ L5233/ 5300, SCV-2120/2080R/3120/3080/2080/2060, Ivory</t>
  </si>
  <si>
    <t>SBP-301HM4</t>
  </si>
  <si>
    <t>Aluminum Hanging Mount for Indoor Dome cameras. Compatible with SCD-6021/6083R/5083R/5083/5082/5080, SND-6011R, SNF-7010VM/7010V/7010, Ivory</t>
  </si>
  <si>
    <t>SBP-300WM0</t>
  </si>
  <si>
    <t>Plastic Wall mount for Indoor domes. Compatible with SCD-5030/5020/3083/3082E/3081/3080/2082/2081/2080R/2080E/2080/2060E/2042R/2040/2022R/2022/2021/2020R/2020, SND-7061/7011/5061/5011/2010/1080/1011, Ivory</t>
  </si>
  <si>
    <t>SBV-120WC</t>
  </si>
  <si>
    <t>Aluminum Weather cap, Compatible with XNV- 6010/6020/8020R/8030R/8040R, QNV- 6010R/6020R/6030R/7010R/7020R/7030R, Ivory</t>
  </si>
  <si>
    <t>NPS-4</t>
  </si>
  <si>
    <t>FF Group Number Plate Metadata Client 4 channel</t>
  </si>
  <si>
    <t>FF Group server-based ANPR analytics application, 4 channels license, based on META data from X-Series cameras running ANPR App</t>
  </si>
  <si>
    <t>NPS-8</t>
  </si>
  <si>
    <t>FF Group Number Plate Metadata Client 8 channel</t>
  </si>
  <si>
    <t>FF Group server-based ANPR analytics application, 8 channels license, based on META data from X-Series cameras running ANPR App</t>
  </si>
  <si>
    <t>NPS-16</t>
  </si>
  <si>
    <t>FF Group Number Plate Metadata Client 16 channel</t>
  </si>
  <si>
    <t>FF Group server-based ANPR analytics application, 16 channels license, based on META data from X-Series cameras running ANPR App</t>
  </si>
  <si>
    <t>NPS-32</t>
  </si>
  <si>
    <t>FF Group Number Plate Metadata Client 32 channel</t>
  </si>
  <si>
    <t>FF Group server-based ANPR analytics application, 32 channels license, based on META data from X-Series cameras running ANPR App</t>
  </si>
  <si>
    <t>NPS-64</t>
  </si>
  <si>
    <t>FF Group Number Plate Metadata Client 64 channel</t>
  </si>
  <si>
    <t>FF Group server-based ANPR analytics application, 64 channels license, based on META data from X-Series cameras running ANPR App</t>
  </si>
  <si>
    <t>FFGROUP-NOK-LITE-ANPR-1CH</t>
  </si>
  <si>
    <t>FF Group ANPR Lite 1CH Server-based 
(Requires RTSP Stream)</t>
  </si>
  <si>
    <t>FF Group server-based Lite ANPR analytics application for integration with 3rd party systems, 1 channel license, based on video from IP cameras</t>
  </si>
  <si>
    <t>FFGROUP-NOK-LITE-ANPR-2CH</t>
  </si>
  <si>
    <t>FF Group ANPR Lite 2CH Server-based 
(Requires RTSP Stream)</t>
  </si>
  <si>
    <t>FF Group server-based Lite ANPR analytics application for integration with 3rd party systems, 2 channel license, based on video from IP cameras</t>
  </si>
  <si>
    <t>FFGROUP-NOK-LITE-ANPR-4CH</t>
  </si>
  <si>
    <t>FF Group ANPR Lite 4CH Server-based 
(Requires RTSP Stream)</t>
  </si>
  <si>
    <t>FF Group server-based Lite ANPR analytics application for integration with 3rd party systems, 4 channel license, based on video from IP cameras</t>
  </si>
  <si>
    <t>FFGROUP-NOK-LITE-ANPR-6CH</t>
  </si>
  <si>
    <t>FF Group ANPR Lite 6CH Server-based 
(Requires RTSP Stream)</t>
  </si>
  <si>
    <t>FF Group server-based Lite ANPR analytics application for integration with 3rd party systems, 6 channel license, based on video from IP cameras</t>
  </si>
  <si>
    <t>FFGROUP-NOK-LITE-ANPR-9CH</t>
  </si>
  <si>
    <t>FF Group ANPR Lite 9CH Server-based 
(Requires RTSP Stream)</t>
  </si>
  <si>
    <t>FF Group server-based Lite ANPR analytics application for integration with 3rd party systems, 9 channel license, based on video from IP cameras</t>
  </si>
  <si>
    <t>FFGROUP-NOK-LITE-ANPR-12CH</t>
  </si>
  <si>
    <t>FF Group ANPR Lite 12CH Server-based 
(Requires RTSP Stream)</t>
  </si>
  <si>
    <t>FF Group server-based Lite ANPR analytics application for integration with 3rd party systems, 12 channel license, based on video from IP cameras</t>
  </si>
  <si>
    <t>NumberOK SMB Reporter</t>
  </si>
  <si>
    <t>FF Group Number Plate server Reporter App</t>
  </si>
  <si>
    <t>FF Group server-based ANPR analytics Reporter application for small &amp; medium business</t>
  </si>
  <si>
    <t>SW NUMBEROK SMB 1 ALL</t>
  </si>
  <si>
    <t>FF Group ANPR SMB 1CH Server-based 
(Requires RTSP Stream)</t>
  </si>
  <si>
    <t>FF Group server-based ANPR analytics application for small &amp; medium business, 1 channel license, based on video from IP cameras</t>
  </si>
  <si>
    <t>SW NUMBEROK SMB 2 ALL</t>
  </si>
  <si>
    <t>FF Group ANPR SMB 2CH Server-based 
(Requires RTSP Stream)</t>
  </si>
  <si>
    <t>FF Group server-based ANPR analytics application for small &amp; medium business, 2 channels license, based on video from IP cameras</t>
  </si>
  <si>
    <t>SW NUMBEROK SMB 4 ALL</t>
  </si>
  <si>
    <t>FF Group ANPR SMB 4CH Server-based 
(Requires RTSP Stream)</t>
  </si>
  <si>
    <t>FF Group server-based ANPR analytics application for small &amp; medium business, 4 channels license, based on video from IP cameras</t>
  </si>
  <si>
    <t>SW NUMBEROK SMB 6 ALL</t>
  </si>
  <si>
    <t>FF Group ANPR SMB 6CH Server-based 
(Requires RTSP Stream)</t>
  </si>
  <si>
    <t>FF Group server-based ANPR analytics application for small &amp; medium business, 6 channels license, based on video from IP cameras</t>
  </si>
  <si>
    <t>SW NUMBEROK SMB 9 ALL</t>
  </si>
  <si>
    <t>FF Group ANPR SMB 9CH Server-based 
(Requires RTSP Stream)</t>
  </si>
  <si>
    <t>FF Group server-based ANPR analytics application for small &amp; medium business, 9 channels license, based on video from IP cameras</t>
  </si>
  <si>
    <t>SW NUMBEROK SMB 12 ALL</t>
  </si>
  <si>
    <t>FF Group ANPR SMB 12CH Server-based 
(Requires RTSP Stream)</t>
  </si>
  <si>
    <t>FF Group server-based ANPR analytics application for small &amp; medium business, 12 channels license, based on video from IP cameras</t>
  </si>
  <si>
    <t>FFGROUP-NOK-ENT-ANPR-1CH</t>
  </si>
  <si>
    <t>FF Group ANPR Enterprise 1CH Server-based 
(Requires RTSP Stream)</t>
  </si>
  <si>
    <t>FF Group server-based Enterprise ANPR analytics application for  traffic monitoring and Safe/Smart Cities, 1 channel license, based on video from IP cameras</t>
  </si>
  <si>
    <t>FFGROUP-NOK-ENT-ANPR-2CH</t>
  </si>
  <si>
    <t>FF Group ANPR Enterprise 2CH Server-based 
(Requires RTSP Stream)</t>
  </si>
  <si>
    <t>FF Group server-based Enterprise ANPR analytics application for  traffic monitoring and Safe/Smart Cities, 2 channels license, based on video from IP cameras</t>
  </si>
  <si>
    <t>FFGROUP-NOK-ENT-ANPR-4CH</t>
  </si>
  <si>
    <t>FF Group ANPR Enterprise 4CH Server-based 
(Requires RTSP Stream)</t>
  </si>
  <si>
    <t>FF Group server-based Enterprise ANPR analytics application for  traffic monitoring and Safe/Smart Cities, 4 channels license, based on video from IP cameras</t>
  </si>
  <si>
    <t>FFGROUP-NOK-ENT-ANPR-6CH</t>
  </si>
  <si>
    <t>FF Group ANPR Enterprise 6CH Server-based 
(Requires RTSP Stream)</t>
  </si>
  <si>
    <t>FF Group server-based Enterprise ANPR analytics application for  traffic monitoring and Safe/Smart Cities, 6 channels license, based on video from IP cameras</t>
  </si>
  <si>
    <t>FFGROUP-NOK-ENT-ANPR-9CH</t>
  </si>
  <si>
    <t>FF Group ANPR Enterprise 9CH Server-based 
(Requires RTSP Stream)</t>
  </si>
  <si>
    <t>FF Group server-based Enterprise ANPR analytics application for  traffic monitoring and Safe/Smart Cities, 9 channels license, based on video from IP cameras</t>
  </si>
  <si>
    <t>FFGROUP-NOK-ENT-ANPR-12CH</t>
  </si>
  <si>
    <t>FF Group ANPR Enterprise 12CH Server-based 
(Requires RTSP Stream)</t>
  </si>
  <si>
    <t>FF Group server-based Enterprise ANPR analytics application for  traffic monitoring and Safe/Smart Cities, 12 channels license, based on video from IP cameras</t>
  </si>
  <si>
    <t>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2TB Seagate SKyHawk HDD included (ST2000VX015)</t>
  </si>
  <si>
    <t>16CH 8MP NVR, Triple codec H.265/H.264/MJPEG with WiseStream technology, Dual track recording, 128Mbps network camera recording, Plug &amp; play by 16 PoE(LAN, 10/100), 1PoE(WAN, 1Gbps), ARB (Automatic Recovery Backup), 2 fixed internal SATA HDD (20TB max), HDMI local monitor, SUNAPI, ONVIF, P2P service (QR code connect) supported, 2TB Seagate SKyHawk HDD included (ST2000VX015)</t>
  </si>
  <si>
    <t>ST10000NM001G-HW</t>
  </si>
  <si>
    <t>Seagate EXOS Enterprise HDD 10TB (ST10000NM001G)</t>
  </si>
  <si>
    <t>Seagate EXOS 10TB 3.5" Enterprise HDD drive for use in Storage Servers and NVR that requires RAID storage, SATA 6Gb/s, 2.5 M hours MTBF, Workload rate limit 550 TB/year, 5-year limited warranty (ST10000NM001G)</t>
  </si>
  <si>
    <t>HDD1TBSG</t>
  </si>
  <si>
    <t>Seagate SkyHawk HDD 1TB (ST1000VX005)
Box of 20 pcs</t>
  </si>
  <si>
    <t>Seagate SkyHawk 1TB 3.5" Surveillance HDD drive for use in NVR/DVR, SATA 6Gb/s, 1 M hours MTBF, Worlkload rate limit 180TB/year, SkyHawk Health Management, 3-year limited warranty (ST1000VX005)</t>
  </si>
  <si>
    <t>Seagate SkyHawk HDD 2TB (ST2000VX015)
Box of 20 pcs</t>
  </si>
  <si>
    <t>Seagate SkyHawk HDD 4TB (ST4000VX016)
Box of 20 pcs</t>
  </si>
  <si>
    <t>HDD8TBSGV2</t>
  </si>
  <si>
    <t>Seagate SkyHawk AI HDD 8TB (ST8000VE001)
Box of 20 pcs</t>
  </si>
  <si>
    <t>HDD1TBWD-Kit</t>
  </si>
  <si>
    <t>HDD-1TB Kit</t>
  </si>
  <si>
    <t>1TB Surveillance HDD drive for use in NVR/DVR (WD10PURX-64KC9Y0)</t>
  </si>
  <si>
    <t>HDD2TBWDV2-Kit</t>
  </si>
  <si>
    <t>WD20PURX-64AKYY0-HW</t>
  </si>
  <si>
    <t>2TB 3.5'' WD Purple HDD (WD20PURX-64AKYY0)</t>
  </si>
  <si>
    <t>HDD3TBWDV2-Kit</t>
  </si>
  <si>
    <t>WD30PURX-64AKYY0-HW</t>
  </si>
  <si>
    <t>3TB 3.5'' WD Purple HDD (WD30PURX-64AKYY0)</t>
  </si>
  <si>
    <t>HDD4TBWDV2-Kit</t>
  </si>
  <si>
    <t>HDD8TBWD-Kit</t>
  </si>
  <si>
    <t>HDD-8TB Kit</t>
  </si>
  <si>
    <t>8TB Surveillance HDD drive for use in NVR/DVR (WD82PURX-64GVLY0)</t>
  </si>
  <si>
    <t>WD8001PURA-64B6VY0-HW</t>
  </si>
  <si>
    <t>8TB 3.5'' WD Purple Pro HDD (WD8001PURA-64B6VY0)</t>
  </si>
  <si>
    <t>HDD10TBWD-Kit</t>
  </si>
  <si>
    <t>HDD-10TB Kit</t>
  </si>
  <si>
    <t>10TB Surveillance HDD drive for use in NVR/DVR (WD102PURX-64WCLY0)</t>
  </si>
  <si>
    <t>WD101PURA-64B5KY0-HW</t>
  </si>
  <si>
    <t>10TB 3.5'' WD Purple Pro HDD (WD101PURA-64B5KY0)</t>
  </si>
  <si>
    <t>27" FHD LED Monitor</t>
  </si>
  <si>
    <t>LS27C310EAUXEN</t>
  </si>
  <si>
    <t>27" FHD LED Monitor, 1080p (1920x1080), 250nit, 16:9 aspect ratio, Contrast ratio 1,000:1, Response time 5ms, HDMI, VGA, Freesync, VESA Compatible (75x75mm)</t>
  </si>
  <si>
    <t>SBP-390WM1</t>
  </si>
  <si>
    <t>Aluminum Wall mount compatible with PNM-9081VQ/9080VQ/9020V/9320VQP, all P seriesTZ cameras, Ivory</t>
  </si>
  <si>
    <t>XNO-6120R/FNP</t>
  </si>
  <si>
    <t>2MP 12X IR Bullet
with FF Group ANPR app</t>
  </si>
  <si>
    <t>X series powered by Wisenet 5 network IR outdoor vandal bullet camera with FF Group ANPR app, 2MP @60fps, Full HD(1080p), 5.2 ~ 62.4mm lens (optical 12x) (54.58°~5.30°), triple codec H.265/H.264/MJPEG with WiseStream II, Multiple streaming, 150dB WDR,  True Day &amp; Night (ICR), High Powered IR LEDs with IR viewable length 70m,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</si>
  <si>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XNO-6120R/RW (same price)</t>
  </si>
  <si>
    <r>
      <rPr>
        <rFont val="Arial"/>
        <color rgb="FF000000"/>
        <sz val="12.0"/>
      </rPr>
      <t xml:space="preserve">X series powered by Wisenet 5 network IR outdoor vandal bullet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Full HD(1080p), 5.2 ~ 62.4mm optical zoom lens (12x) (54.58°~5.30°), triple codec H.265/H.264/MJPEG with WiseStream II, Multiple streaming, 150dB WDR, True Day &amp; Night (ICR), High Powered IR LEDs with IR viewable length 70m, HLC, Handover, Digital Image Stabilization with built-in Gyro sensor, Bi-directional audio, IP67, IK10, Nema 4X, PoE/12VDC/24VAC</t>
    </r>
  </si>
  <si>
    <t>2MP Box
with FF Group ANPR app</t>
  </si>
  <si>
    <t>X series powered by Wisenet 5 network box camera with FF Roadway ANPR app,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</si>
  <si>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XNB-6005/FNP</t>
  </si>
  <si>
    <t>eXtraLUX Box Camera
with FF Group ANPR app</t>
  </si>
  <si>
    <t>X series powered by Wisenet 5 network box camera with FF Roadway ANPR App, eXtraLUX features 1/2" sensor, 2MP @60fps, 0.006 Lux@F1.2 (Color), 0.0006 Lux@F1.2 (B/W),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</si>
  <si>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XNO-6080R/FNP</t>
  </si>
  <si>
    <t>2MP IR Bullet
with FF Group ANPR app</t>
  </si>
  <si>
    <t>X series powered by Wisenet 5 network IR outdoor vandal bullet camera with FF Roadway ANPR, 2MP @60fps, 2.8 ~ 12.0mm motorized vari-focal lens (4.3x) (119.5°~27.9°), triple codec H.265/H.264/MJPEG with WiseStream II, Multiple streaming, 150dB WDR,  True Day &amp; Night (ICR), High Powered IR LEDs with IR viewable length 50m, Advanced Video Analytics and Sound Classification and Business Analytics, Hallway View, Motion detection, Fog detection, HLC, Handover, Digital Image Stabilization, Bi-directional audio and dual SD/SDHC/SDXC slot, USB port for easy installation, IP67, IK10, Nema 4X, PoE/12VDC/24VAC</t>
  </si>
  <si>
    <t>XNO-6080R/RW (same price)</t>
  </si>
  <si>
    <r>
      <rPr>
        <rFont val="Arial"/>
        <color rgb="FF000000"/>
        <sz val="12.0"/>
      </rPr>
      <t xml:space="preserve">X series powered by Wisenet 5 network IR outdoor vandal bullet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 IK10, Nema 4X, PoE/12VDC/24VAC</t>
    </r>
  </si>
  <si>
    <t>XNV-6080R/FNP</t>
  </si>
  <si>
    <t>2MP IR Outdoor Dome
with FF Group ANPR app</t>
  </si>
  <si>
    <t>X series powered by Wisenet 5 network IR outdoor vandal dome camera with FF Roadway ANPR,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microSD/SDHC/SDXC slot, USB port for easy installation, IP67/IP66, IK10, Nema 4X, PoE/12VDC/24VAC</t>
  </si>
  <si>
    <t>XNV-6080R/RW (same price)</t>
  </si>
  <si>
    <r>
      <rPr>
        <rFont val="Arial"/>
        <color rgb="FF000000"/>
        <sz val="12.0"/>
      </rPr>
      <t xml:space="preserve">X series powered by Wisenet 5 network IR outdoor vandal dome camera with </t>
    </r>
    <r>
      <rPr>
        <rFont val="Arial"/>
        <b/>
        <color rgb="FF000000"/>
        <sz val="12.0"/>
      </rPr>
      <t>32GB SD Card, pre-installed and licensed RoadWatch ANPR application</t>
    </r>
    <r>
      <rPr>
        <rFont val="Arial"/>
        <color rgb="FF000000"/>
        <sz val="12.0"/>
      </rPr>
      <t>; List Management, Smart Search, Statistics, Barrier Trigger, ANPR Setup Wizard, Integration with WAVE VMS, JSON &amp; UTMC protocols, 2MP @60fps, 2.8 ~ 12.0mm motorized varifocal lens (4.3x) (119.5°~27.9°), triple codec H.265/H.264/MJPEG with WiseStream II, Multiple streaming, 150dB WDR, True Day &amp; Night (ICR), High Powered IR LEDs with IR viewable length 50m, HLC, Handover, Digital Image Stabilization, Bi-directional audio, IP67/IP66, IK10, Nema 4X, PoE/12VDC/24VAC</t>
    </r>
  </si>
  <si>
    <t>XNV-6120R/FNP</t>
  </si>
  <si>
    <t>X series powered by Wisenet 5 network IR outdoor vandal dome camera pre-installed with FF Group ANPR app and 32GB SD Card, 2MP @60fps, Full HD(1080p), 5.2 ~ 62.4mm optical zoom lens (12x) (54.58°~5.30°), triple codec H.265/H.264/MJPEG with WiseStream II, Multiple streaming, 150dB WDR, True Day &amp; Night (ICR), High Powered IR LEDs with IR viewable length 70m, Motion detection, Fog detection, HLC, Handover, Digital Image Stabilization with built-in Gyro Sensor, Bi-directional audio and dual microSD/SDHC/SDXC slot, USB port for easy installation, IP67, IK10, Nema 4X, PoE/12VDC/24VAC</t>
  </si>
  <si>
    <t>X series powered by Wisenet 5 network IR indoor dome camera with FF Roadway ANPR, 2MP @60fps, 3.2 ~ 10.0mm motorized vari-focal lens (3.1x) (109.0°~33.2°), triple codec H.265/H.264/MJPEG with WiseStream II, Multiple streaming, 120dB WDR,  True Day &amp; Night (ICR), IR viewable length 20m,  Tampering, Defocus detection, Motion Detection, Fog detection, Hallway View, HLC, Digital Image Stabilization, single SD/SDHC/SDXC slot, USB port for easy installation, IK08, PoE</t>
  </si>
  <si>
    <t>FFGROUP-ANPR-APP-1CH</t>
  </si>
  <si>
    <t>FF Group Number Plate Recognition App 1CH</t>
  </si>
  <si>
    <t>FF Group ANPR analytics App licence. Can be added to X-Series Bullet, Box and Dome/Vandal cameras. Suitable for video streams from models: XNO-L6080R, XND-L6080R, XNV-6080R, XNO-6080R, XNO-6120R, XND-6080R, XND-6080RV, XNV-6080R, XNV-6120R, XNV-6080RS, XNV-6120RS, XNO-6085R (requires SD card)</t>
  </si>
  <si>
    <t>FFG-RW-1CH (same price)</t>
  </si>
  <si>
    <t>RoadWatch 1 Channel License, Edge based ANPR for X Series Wisenet 5 &amp; 7 Cameras, supports 1 Lane with maximum speed of 90km/h(55mph) model dependent, 95% recognition accuracy, Recognition of 42 European Countries, Direction Detection, List Management, Barrier Trigger, Smart Search (full/partial plate, country, date and a combination), Search Export in to Excel format, Statistics Widget (data by day and week), Setup Tools (Wizard, Freeze Frame, Plate Angle &amp; Size), Settings Export/Import and database backup, Integration with WAVE VMS, SSM VMS, JSON &amp; UTMC protocols</t>
  </si>
  <si>
    <t>ST2000VX015-HW</t>
  </si>
  <si>
    <t>Seagate SkyHawk HDD 2TB
(ST2000VX015)</t>
  </si>
  <si>
    <t>Seagate SkyHawk 2TB 3.5" Surveillance HDD for use in NVR/DVR, SATA 6Gb/s, max. sustained transfer rate 180MB/s, cache 256MB, average operating/idle power 3.7W/2.5W, MTBF 1m hours, WRL 180TB/year, SkyHawk Health Management and Rescue Data Recovery Services, 3-year limited warranty included (ST2000VX015)</t>
  </si>
  <si>
    <t>ST8000NM000A-HW</t>
  </si>
  <si>
    <t>Seagate EXOS Enterprise HDD 8TB (ST8000NM000A)</t>
  </si>
  <si>
    <t>Seagate EXOS 8TB 3.5" Enterprise HDD drive for use in Storage Servers and NVR that requires RAID storage, SATA 6Gb/s, 2 M hours MTBF, Workload rate limit 550 TB/year, 5-year limited warranty (ST8000NM000A)</t>
  </si>
  <si>
    <t>AIT-SUP-ONSITE</t>
  </si>
  <si>
    <t>AI Tech Local Support</t>
  </si>
  <si>
    <t>AIT-SUP-ONSITE is daily rate for on-site support carried out by AI Tech personnel. Excludes travel expenses, visa and lodging which are charged at extra costs</t>
  </si>
  <si>
    <t>A2-AID-STSERV-DTR</t>
  </si>
  <si>
    <t>On-site in Turkey professional services
(day rate)</t>
  </si>
  <si>
    <t>Day rate for Turkey on-site professional services that include system configuration, calibration, testing and training. EXCLUDING: Transport, Accommodation and Subsistence expenses. ORDER NOTE: Final Bill of Materials for AID project needs to be validated, please contact your local sales representative.</t>
  </si>
  <si>
    <t>A2-AID-STSERV-DEU</t>
  </si>
  <si>
    <t>On-site in Europe/UK professional services
(day rate)</t>
  </si>
  <si>
    <t>Day rate for Europe/UK on-site professional services that include system configuration, calibration, testing and training. EXCLUDING: Transport, Accommodation and Subsistence expenses. ORDER NOTE: Final Bill of Materials for AID project needs to be validated, please contact your local sales representative.</t>
  </si>
  <si>
    <t>WRN-1610S-16CH-2TB</t>
  </si>
  <si>
    <t>Wisenet WAVE 2U PoE NVR - 2TB
with 16CH WAVE licence</t>
  </si>
  <si>
    <t>2U Wisenet WAVE Network Video Recorder with 16 Professional licenses, Wisenet WAVE pre-installed, Seagate SkyHawk 2TB raw, up to 150 Mbps recording B/W, 4x HDD Bays (3.5") up to 24TB, Intel CPU, Linux Ubuntu, HDMI, VGA output, 16 PoE+ camera ports with 200W total PoE budget, 320W power supply, Mouse included, Rail mount brackets included</t>
  </si>
  <si>
    <t>WRN-1610S-4CH-2TB</t>
  </si>
  <si>
    <t>Wisenet WAVE 2U PoE NVR - 2TB
with 4CH WAVE licence</t>
  </si>
  <si>
    <t>2U Wisenet WAVE Network Video Recorder with 4 Professional licenses, Wisenet WAVE pre-installed, Seagate SkyHawk 2TB raw, up to 150 Mbps recording B/W, 4x HDD Bays (3.5") up to 24TB, Intel CPU, Linux Ubuntu, HDMI, VGA output, 16 PoE+ camera ports with 200W total PoE budget, 320W power supply, Mouse included, Rail mount brackets included</t>
  </si>
  <si>
    <t>WRN-1610S-8CH-2TB</t>
  </si>
  <si>
    <t>Wisenet WAVE 2U PoE NVR - 2TB
with 8CH WAVE licence</t>
  </si>
  <si>
    <t>2U Wisenet WAVE Network Video Recorder with 8 Professional licenses, Wisenet WAVE pre-installed, Seagate SkyHawk 2TB raw, up to 150 Mbps recording B/W, 4x HDD Bays (3.5") up to 24TB, Intel CPU, Linux Ubuntu, HDMI, VGA output, 16 PoE+ camera ports with 200W total PoE budget, 320W power supply, Mouse included, Rail mount brackets included</t>
  </si>
  <si>
    <t>WRN-810S-4CH-2TB</t>
  </si>
  <si>
    <t>Wisenet WAVE 1U PoE NVR - 2TB
with 4CH WAVE licence</t>
  </si>
  <si>
    <t>1U Wisenet WAVE Network Video Recorder with 4 Professional licenses, Wisenet WAVE pre-installed, Seagate SkyHawk 2TB raw, up to 80 Mbps recording B/W, 2x HDD Bays (3.5") up to 12TB, Intel CPU, Linux Ubuntu, HDMI, VGA output, 8 PoE+ camera ports with 100W total PoE budget, 164W power supply, Mouse included, Rail mount brackets included</t>
  </si>
  <si>
    <t>WRN-810S-8CH-2TB</t>
  </si>
  <si>
    <t>Wisenet WAVE 1U PoE NVR - 2TB
with 8CH WAVE licence</t>
  </si>
  <si>
    <t>1U Wisenet WAVE Network Video Recorder with 8 Professional licenses, Wisenet WAVE pre-installed, Seagate SkyHawk 2TB raw, up to 80 Mbps recording B/W, 2x HDD Bays (3.5") up to 12TB, Intel CPU, Linux Ubuntu, HDMI, VGA output, 8 PoE+ camera ports with 100W total PoE budget, 164W power supply, Mouse included, Rail mount brackets included</t>
  </si>
  <si>
    <t>WRN-810S-4CH-1TB</t>
  </si>
  <si>
    <t>Wisenet WAVE 1U PoE NVR - 1TB
with 4CH WAVE licence</t>
  </si>
  <si>
    <t xml:space="preserve">1U Wisenet WAVE Network Video Recorder with 4 Professional licenses, Wisenet WAVE pre-installed, Seagate SkyHawk 1TB raw, up to 80 Mbps recording B/W, 2x HDD Bays (3.5") up to 12TB, Intel CPU, Linux Ubuntu, HDMI, VGA output, 8 PoE+ camera ports with 100W total PoE budget, 164W power supply, Mouse included, Rail mount brackets included </t>
  </si>
  <si>
    <t>WRN-810S-8CH-1TB</t>
  </si>
  <si>
    <t>Wisenet WAVE 1U PoE NVR - 1TB
with 8CH WAVE licence</t>
  </si>
  <si>
    <t>1U Wisenet WAVE Network Video Recorder with 8 Professional licenses, Wisenet WAVE pre-installed, Seagate SkyHawk 1TB raw, up to 80 Mbps recording B/W, 2x HDD Bays (3.5") up to 12TB, Intel CPU, Linux Ubuntu, HDMI, VGA output, 8 PoE+ camera ports with 100W total PoE budget, 164W power supply, Mouse included, Rail mount brackets included</t>
  </si>
  <si>
    <t>SBP-125WMW</t>
  </si>
  <si>
    <t>Plastic/Aluminum Wall mount for Flateye cameras. Compatible with QNE-8011R/8021R, White</t>
  </si>
  <si>
    <t>SHP-1560FW</t>
  </si>
  <si>
    <t>Plastic In-ceiling Flush Mount PTZ cameras. Compatible with XNP-9250, XNP-8250, XNP-6400, White</t>
  </si>
  <si>
    <t>SBP-100S</t>
  </si>
  <si>
    <t>Aluminum Strap for SBP-156WMW, SBP-300PMW1, SBP-300PM1</t>
  </si>
  <si>
    <t>16CH 32MP 140Mbps 8 Bay NVR - 2TB HDD</t>
  </si>
  <si>
    <t>16CH 32MP 140Mbps 4 Bay PoE NVR - 2TB HDD</t>
  </si>
  <si>
    <t>16CH 32MP NVR, triple codec H.265/H.264/MJPEG compression, 140Mbps network camera recording / 32Mbps playback throughput, Plug &amp; play by 16 PoE Ports, ARB (Automatic Recovery Backup) &amp; Failover (N+1), up to 4 SATA HDD (24TB max), HDMI local dual monitor, SUNAPI, ONVIF, Easy configuration (P2P), AI search support when working with Wisenet AI camera, 2TB Seagate SKyHawk HDD included (ST2000VX008)</t>
  </si>
  <si>
    <t>8CH 32MP 100Mbps 2 Bay PoE NVR - 2TB HDD</t>
  </si>
  <si>
    <t>4CH PoE+ NVR-2TB HDD</t>
  </si>
  <si>
    <t>4CH 4K NVR, 2TB HDD, 4CH @8MP each, triple codec H.265/H.264/MJPEG with WiseStream technology, AI search features; 50Mbps network camera recording, Plug &amp; play by 4 PoE/PoE+ Ports, ARB (Automatic Recovery Backup), 1 fixed internal SATA HDD (6TB max), HDMI, VGA local monitor, SUNAPI, ONVIF, HDD included</t>
  </si>
  <si>
    <t>4CH 8MP NVR, Triple codec H.265/H.264/MJPEG with WiseStream technology, Dual track recording, 40Mbps network camera recording, Plug &amp; play by 4 PoE ports, ARB (Automatic Recovery Backup), 1 fixed internal SATA HDD (6TB max), HDMI local monitor, SUNAPI, ONVIF, P2P service (QR code connect) supported, 2TB Seagate SKyHawk HDD included (ST2000VX015)</t>
  </si>
  <si>
    <t>HRX-835-2TB-S</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</si>
  <si>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2TB Seagate SKyHawk HDD included (ST2000VX008)</t>
  </si>
  <si>
    <t>HRX-835-4TB-S</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</si>
  <si>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4TB Seagate SKyHawk HDD included (ST4000VX016)</t>
  </si>
  <si>
    <t>HRX-1634-2TB-S</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</si>
  <si>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2TB Seagate SkyHawk HDD included (ST2000VX015)</t>
  </si>
  <si>
    <t>HRX-434-2TB-S</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</si>
  <si>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2TB Seagate SKyHawk HDD included (ST2000VX008)</t>
  </si>
  <si>
    <t>L series network IR outdoor vandal bullet camera, 2MP @30fps, 4mm fixed lens (80°), H.264/MJPEG with WiseStream II, Multiple streaming, 120dB WDR, Auto Day &amp; Night (ICR), IR viewable length 30m, Motion detection, Tampering, Hallway View, microSD/SDHC slot, LDC support (Lens Distortion Correction), IP66, PoE</t>
  </si>
  <si>
    <t>L series network IR outdoor vandal bullet camera, 2MP @30fps, 3mm fixed lens (102°), H.264/MJPEG with WiseStream II, Multiple streaming, 120dB WDR, Auto Day &amp; Night (ICR), IR viewable length 30m, Motion detection, Tampering, Hallway View, microSD/SDHC slot, LDC support (Lens Distortion Correction), IP66, PoE</t>
  </si>
  <si>
    <t>L series network IR outdoor vandal dome camera, 2MP @30fps, 3mm fixed lens (102°), H.264/MJPEG with WiseStream II, Multiple streaming, 120dB WDR, Auto Day &amp; Night (ICR), IR viewable length 30m, Motion detection, Tampering, Hallway View, microSD/SDHC slot, LDC support (Lens Distortion Correction), IP66, IK10,PoE</t>
  </si>
  <si>
    <t>L series network IR outdoor vandal dome camera, 2MP @30fps, 4mm fixed lens (80°), H.264/MJPEG with WiseStream II, Multiple streaming, 120dB WDR, Auto Day &amp; Night (ICR), IR viewable length 30m, Motion detection, Tampering, Hallway View, microSD/SDHC slot, LDC support (Lens Distortion Correction), IP66, IK10, PoE</t>
  </si>
  <si>
    <t>L series network IR outdoor vandal dome camera, 2MP @30fps, 3.2 ~ 10.0mm varifocal lens (3.1x) (101.6°~ 31.3°),  H.264/MJPEG with WiseStream II, Multiple streaming, 120dB WDR, Auto Day &amp; Night (ICR), IR viewable length 30m, Motion detection, Tampering, Hallway View, microSD/SDHC slot, LDC support (Lens Distortion Correction), IP66, IK10, PoE</t>
  </si>
  <si>
    <t>L series network IR indoor dome camera, 2MP @30fps, 3.2 ~ 10.0mm varifocal lens (3.1x) (101.6°~ 31.3°), H.264/MJPEG with WiseStream II, Multiple streaming, 120dB WDR, Auto Day &amp; Night (ICR), IR viewable length 20m, Motion detection, Tampering, Hallway View, microSD/SDHC slot, LDC support (Lens Distortion Correction), PoE</t>
  </si>
  <si>
    <t>L series network IR indoor dome camera, 2MP @30fps, 3mm fixed lens (102°), H.264/MJPEG with WiseStream II, Multiple streaming, 120dB WDR, Auto Day &amp; Night (ICR), IR viewable length 20m, Motion detection, Tampering, Hallway View, microSD/SDHC slot, LDC support (Lens Distortion Correction), PoE</t>
  </si>
  <si>
    <t>L series network IR indoor dome camera, 2MP @30fps, 4mm fixed lens (80°), H.264/MJPEG with WiseStream II, Multiple streaming, 120dB WDR, Auto Day &amp; Night (ICR), IR viewable length 20m, Motion detection, Tampering, Hallway View, microSD/SDHC slot, LDC support (Lens Distortion Correction), PoE</t>
  </si>
  <si>
    <t>CLIENT-QUBE</t>
  </si>
  <si>
    <t>Mini Qube 4 Bay client with on-board GPU</t>
  </si>
  <si>
    <t>Mini Qube 4 Bay client with on-board GPU, Intel Core 9th Gen i7 8 Cores, 16GB RAM, 2 x 1Gbe, Intel UHD630 2 x DP, 1 x DVI, Win 10 PRO, 240GB SSD, 250W PSU, 5 Year NBD Warranty, Includes 1 x Power Cable and Keyboard/Mouse set</t>
  </si>
  <si>
    <t>Workstation</t>
  </si>
  <si>
    <t>WORKST-QUBE-4TB</t>
  </si>
  <si>
    <t>Mini Qube 4 Bay recording workstation with on-board GPU</t>
  </si>
  <si>
    <t>Mini Qube 4 Bay recording workstation with on-board GPU and 4TB JBOD HDDs, Intel Core 9th Gen i7 8 Cores, 16GB RAM, 2 x 1Gbe, Intel UHD630 2 x DP, 1 x DVI, Win 10 PRO, 240GB SSD, 250W PSU, 5 Year NBD Warranty, Includes 1 x Power Cable and Keyboard/Mouse set</t>
  </si>
  <si>
    <t>WORKST-QUBE-8TB</t>
  </si>
  <si>
    <t>Mini Qube 4 Bay recording workstation with on-board GPU and 8TB JBOD HDDs, Intel Core 9th Gen i7 8 Cores, 16GB RAM, 2 x 1Gbe, Intel UHD630 2 x DP, 1 x DVI, Win 10 PRO, 240GB SSD, 250W PSU, 5 Year NBD Warranty, Includes 1 x Power Cable and Keyboard/Mouse set</t>
  </si>
  <si>
    <t>WORKST-QUBE-16TB</t>
  </si>
  <si>
    <t>Mini Qube 4 Bay recording workstation with on-board GPU and 16TB JBOD HDDs, Intel Core 9th Gen i7 8 Cores, 16GB RAM, 2 x 1Gbe, Intel UHD630 2 x DP, 1 x DVI, Win 10 PRO, 240GB SSD, 250W PSU, 5 Year NBD Warranty, Includes 1 x Power Cable and Keyboard/Mouse set</t>
  </si>
  <si>
    <t>WORKST-QUBE-24TB</t>
  </si>
  <si>
    <t>Mini Qube 4 Bay recording workstation with on-board GPU and 24TB JBOD HDDs, Intel Core 9th Gen i7 8 Cores, 16GB RAM, 2 x 1Gbe, Intel UHD630 2 x DP, 1 x DVI, Win 10 PRO, 240GB SSD, 250W PSU, 5 Year NBD Warranty, Includes 1 x Power Cable and Keyboard/Mouse set</t>
  </si>
  <si>
    <t>Client &amp; Workstation Upgrade</t>
  </si>
  <si>
    <t>QUBE-GPU-UPGRADE</t>
  </si>
  <si>
    <t>Mini Qube 4 Bay client and recording workstation with on-board GPU</t>
  </si>
  <si>
    <t>Upgrade to Nvidia GT1030 or similar for CLIENT-QUBE and WORKST-QUBE, must be ordered with the Qube</t>
  </si>
  <si>
    <t>CLIENT-TOWER-2xGPU</t>
  </si>
  <si>
    <t>Tower client with external 2xGPU</t>
  </si>
  <si>
    <t>Tower client with external 2xGPU, Intel Core 9th Gen i7 8 Cores, 16GB RAM, 2 x 1Gbe, 2 x Nvidia GTX 1050Ti GPU 1 x DP 1.4, 1 x DVI-D, 1 x HDMI 2.0, Win 10 PRO, 240GB SSD, 750W PSU, 5 Year NBD Warranty, Includes 1 x Power Cable and Keyboard/Mouse set</t>
  </si>
  <si>
    <t>CLIENT-QUBE-i7-2MO
QUBE 4 MON UPGRADE T1000</t>
  </si>
  <si>
    <t>SBV-125BW</t>
  </si>
  <si>
    <t>Dome Back box with knockouts, Compatible with QNE-8011R/8021R, White</t>
  </si>
  <si>
    <t>SPI-35B</t>
  </si>
  <si>
    <t>Black Body</t>
  </si>
  <si>
    <t>Blackbody Accessory for Temperature Detection Camera TNM-3620TDY, EBT accuracy: ±0.3°C, IEC 80601-2-59 standard complaint</t>
  </si>
  <si>
    <t>AMGPSU-I48L-P120</t>
  </si>
  <si>
    <t>48 VDC, 120W (2.5A) Light Industrial Power Supply, DIN-Rail Mounting, -20°C to +60°C, (Adjustable 48-56 VDC)</t>
  </si>
  <si>
    <t>AMGPSU-I48-P120</t>
  </si>
  <si>
    <t>48 VDC, 120W (2.5A) Industrial Power Supply, DIN-Rail Mounting, - 40°C to +70°C, Fault Relay Output (Adjustable 47-53 VDC)</t>
  </si>
  <si>
    <t>LH32QMCEPGCXEN</t>
  </si>
  <si>
    <t>LH43QMBEPGCXEN</t>
  </si>
  <si>
    <t>4K UHD 43" LED Display</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</si>
  <si>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</si>
  <si>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LH50QMBEBGCXEN</t>
  </si>
  <si>
    <t>4K UHD 50" LED Display</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</si>
  <si>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</si>
  <si>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LH55QMBEBGCXEN</t>
  </si>
  <si>
    <t>4K UHD 55" LED Display</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</si>
  <si>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</si>
  <si>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LH65QMBEBGCXEN</t>
  </si>
  <si>
    <t>4K UHD 65" LED Display</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</si>
  <si>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</si>
  <si>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SMT-3230PV</t>
  </si>
  <si>
    <t>32" IP PVM Monitor (Black)</t>
  </si>
  <si>
    <t>32" IP public view monitor,1080p (1920x1080), HDMI, Ethernet, 16:9 aspect ratio, VESA mountable (100 x 100mm / 200 x 100mm), black casing, face detection display for visual deterrent, customizable text overlay with pre-configured "recording in progress" OSD, 2MP IP camera built-in, 4.6mm fixed lens (73.8°H), 150dB WDR, H.265/H.264/MJPEG, WiseStream II compression technology, micro SD/SDHC/SDXC, 12V DC</t>
  </si>
  <si>
    <t>32”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***Power adapter not included***</t>
  </si>
  <si>
    <t>SMT-2730PV</t>
  </si>
  <si>
    <t>27" IP PVM Monitor (Black)</t>
  </si>
  <si>
    <t>27" IP public view monitor,1080p (1920x1080), HDMI, Ethernet, 16:9 aspect ratio, VESA mountable (100 x 100mm / 200 x 100mm), black casing, face detection display for visual deterrent, customizable text overlay with pre-configured "recording in progress" OSD, 2MP IP camera built-in, 4.6mm fixed lens (73.8°H), 150dB WDR, H.265/H.264/MJPEG, WiseStream II compression technology, micro SD/SDHC/SDXC, 12V DC</t>
  </si>
  <si>
    <t>27" AI Enabled, IP public view monitor (AI PVM) PIP &amp; PBP support,1080p (1920 x 1080 60Hz), HDMI,  Ethernet, 16:9 aspect ratio, Built-in speaker (2x2 W), VESA mountable (100 x 100mm / 200 x 100mm), black casing, AI face &amp; Object detection. Display for visual deterrent, customizable text overlay with pre-configured "recording in progress" OSD 2MP IP camera built-in, 3.06mm fixed lens, (107.7" H and 59.0V), 120dB WDR, H.265/H.264/MJPEG, slide show &amp; live video, micro SD/SDHC/SDXC, bi-directional audio, hallway view mode, portrait and landscape display support, HPoE 802.3bt, DC 24V. ***Power adapter not included***</t>
  </si>
  <si>
    <t>ST6000VX001-HW</t>
  </si>
  <si>
    <t>Seagate SkyHawk HDD 6TB
(ST6000VX001)</t>
  </si>
  <si>
    <t>Seagate SkyHawk 6TB 3.5" Surveillance HDD drive for use in NVR/DVR, SATA 6Gb/s, 1 M hours MTBF, Worlkload rate limit 180TB/year, SkyHawk Health Management, 3-year limited warranty included (ST6000VX001)</t>
  </si>
  <si>
    <t>Wisenet-GDPR-5Z</t>
  </si>
  <si>
    <t>S-COP Video Masking Software
 5 Zone License</t>
  </si>
  <si>
    <t>S-COP Video Masking Software 5 Zone License</t>
  </si>
  <si>
    <t>Wisenet-GDPR-UZ</t>
  </si>
  <si>
    <t>S-COP Video Masking Software
 Unlimited Zone License</t>
  </si>
  <si>
    <t>S-COP Video Masking Software Unlimited Zone License</t>
  </si>
  <si>
    <t>ST6000NM021A-HW</t>
  </si>
  <si>
    <t>Seagate EXOS Enterprise HDD 6TB (ST6000NM021A)</t>
  </si>
  <si>
    <t>Seagate EXOS 6TB 3.5" Enterprise HDD drive for use in Storage Servers and NVR that requires RAID storage, SATA 6Gb/s, 2 M hours MTBF, Workload rate limit 550 TB/year (ST6000NM021A)</t>
  </si>
  <si>
    <t>ST4000NM002A-HW</t>
  </si>
  <si>
    <t>Seagate EXOS Enterprise HDD 4TB (ST4000NM002A)</t>
  </si>
  <si>
    <t>Seagate EXOS 4TB 3.5" Enterprise HDD drive for use in Storage Servers and NVR that requires RAID storage, SATA 6Gb/s, 2 M hours MTBF, Workload rate limit 550 TB/year(ST4000NM002A)</t>
  </si>
  <si>
    <t>SBP-300BW</t>
  </si>
  <si>
    <t>Wall Mount Base compatible with Mounts SBP-300WMW/300WMW1, QNV-6012R1/6022R1/6032R1/6082R1, QND-6012R1/6022R1/6032R1/6082R1White</t>
  </si>
  <si>
    <t>SBP-187HMW</t>
  </si>
  <si>
    <t>Aluminum Hanging Mount for Outdoor Dome cameras. Compatible with XNV-8081Z/8081RE/8081R/6081Z/6081/6081R/6081RE, PNV-A9081RV, White</t>
  </si>
  <si>
    <t>SHD-3000FW2</t>
  </si>
  <si>
    <t>Polycarbonate In-ceiling Flush Mount for Indoor dome cameras. Compatible with  QND-8080R, QND-6082R, White</t>
  </si>
  <si>
    <t>SPC-100AC</t>
  </si>
  <si>
    <t>AC Power Module</t>
  </si>
  <si>
    <t>AC24V power module for Outdoor X PLUS cameras. Compatible with XNV-6081Z/8081Z, XNV-6081/6081R/8081R, Black</t>
  </si>
  <si>
    <t>WRN-810S-4CH-6TB</t>
  </si>
  <si>
    <t>Wisenet WAVE 1U PoE NVR - 6TB
with 4CH WAVE licence</t>
  </si>
  <si>
    <t>1U Wisenet WAVE Network Video Recorder with 4 Professional licenses, Wisenet WAVE pre-installed, Seagate SkyHawk 6TB raw, up to 80 Mbps recording B/W, 2x HDD Bays (3.5") up to 12TB, Intel CPU, Linux Ubuntu, HDMI, VGA output, 8 PoE+ camera ports with 100W total PoE budget, 164W power supply, Mouse included, Rail mount brackets included</t>
  </si>
  <si>
    <t>WRN-810S-4CH-6TB-HDV2</t>
  </si>
  <si>
    <t>1U Wisenet WAVE Network Video Recorder with 4 Professional licenses, Wisenet WAVE pre-installed, Seagate SkyHawk 6TB raw (ST6000VX009), up to 80 Mbps recording B/W, 2x HDD Bays (3.5") up to 12TB, Intel CPU, Linux Ubuntu, HDMI, VGA output, 8 PoE+ camera ports with 100W total PoE budget, 164W power supply, Mouse included, Rail mount brackets included</t>
  </si>
  <si>
    <t>WRN-810S-8CH-6TB</t>
  </si>
  <si>
    <t>Wisenet WAVE 1U PoE NVR - 6TB
with 8CH WAVE licence</t>
  </si>
  <si>
    <t>1U Wisenet WAVE Network Video Recorder with 8 Professional licenses, Wisenet WAVE pre-installed, Seagate SkyHawk 6TB raw, up to 80 Mbps recording B/W, 2x HDD Bays (3.5") up to 12TB, Intel CPU, Linux Ubuntu, HDMI, VGA output, 8 PoE+ camera ports with 100W total PoE budget, 164W power supply, Mouse included, Rail mount brackets included</t>
  </si>
  <si>
    <t>WRN-810S-8CH-6TB-HDV2</t>
  </si>
  <si>
    <t>1U Wisenet WAVE Network Video Recorder with 8 Professional licenses, Wisenet WAVE pre-installed, Seagate SkyHawk 6TB raw (ST6000VX009), up to 80 Mbps recording B/W, 2x HDD Bays (3.5") up to 12TB, Intel CPU, Linux Ubuntu, HDMI, VGA output, 8 PoE+ camera ports with 100W total PoE budget, 164W power supply, Mouse included, Rail mount brackets included</t>
  </si>
  <si>
    <t>WRN-810S-8CH-12TB</t>
  </si>
  <si>
    <t>Wisenet WAVE 1U PoE NVR - 12TB
with 8CH WAVE licence</t>
  </si>
  <si>
    <t>1U Wisenet WAVE Network Video Recorder with 8 Professional licenses, Wisenet WAVE pre-installed, Seagate SkyHawk 12TB raw, up to 80 Mbps recording B/W, 2x HDD Bays (3.5") up to 12TB, Intel CPU, Linux Ubuntu, HDMI, VGA output, 8 PoE+ camera ports with 100W total PoE budget, 164W power supply, Mouse included, Rail mount brackets included</t>
  </si>
  <si>
    <t>WRN-810S-8CH-12TB-HDV2</t>
  </si>
  <si>
    <t>1U Wisenet WAVE Network Video Recorder with 8 Professional licenses, Wisenet WAVE pre-installed, Seagate SkyHawk 2 x 6TB raw (ST6000VX009), up to 80 Mbps recording B/W, 2x HDD Bays (3.5") up to 12TB, Intel CPU, Linux Ubuntu, HDMI, VGA output, 8 PoE+ camera ports with 100W total PoE budget, 164W power supply, Mouse included, Rail mount brackets included</t>
  </si>
  <si>
    <t>WRN-1610S-4CH-6TB</t>
  </si>
  <si>
    <t>2U Wisenet WAVE Network Video Recorder with 4 Professional licenses, Wisenet WAVE pre-installed, Seagate SkyHawk 6TB raw, up to 150 Mbps recording B/W, 4x HDD Bays (3.5") up to 24TB, Intel CPU, Linux Ubuntu, HDMI, VGA output, 16 PoE+ camera ports with 200W total PoE budget, 320W power supply, Mouse included, Rail mount brackets included</t>
  </si>
  <si>
    <t>WRN-1610S-8CH-6TB</t>
  </si>
  <si>
    <t>2U Wisenet WAVE Network Video Recorder with 8 Professional licenses, Wisenet WAVE pre-installed, Seagate SkyHawk 6TB raw, up to 150 Mbps recording B/W, 4x HDD Bays (3.5") up to 24TB, Intel CPU, Linux Ubuntu, HDMI, VGA output, 16 PoE+ camera ports with 200W total PoE budget, 320W power supply, Mouse included, Rail mount brackets included</t>
  </si>
  <si>
    <t>WRN-1610S-16CH-6TB</t>
  </si>
  <si>
    <t>2U Wisenet WAVE Network Video Recorder with 16 Professional licenses, Wisenet WAVE pre-installed, Seagate SkyHawk 6TB raw, up to 150 Mbps recording B/W, 4x HDD Bays (3.5") up to 24TB, Intel CPU, Linux Ubuntu, HDMI, VGA output, 16 PoE+ camera ports with 200W total PoE budget, 320W power supply, Mouse included, Rail mount brackets included</t>
  </si>
  <si>
    <t>WRN-1610S-16CH-24TB</t>
  </si>
  <si>
    <t>2U Wisenet WAVE Network Video Recorder with 16 Professional licenses, Wisenet WAVE pre-installed, Seagate SkyHawk 4x 6TB raw, up to 150 Mbps recording B/W, 4x HDD Bays (3.5") up to 24TB, Intel CPU, Linux Ubuntu, HDMI, VGA output, 16 PoE+ camera ports with 200W total PoE budget, 320W power supply, Mouse included, Rail mount brackets included</t>
  </si>
  <si>
    <t>WRN-1610S-4CH-8TB</t>
  </si>
  <si>
    <t>2U Wisenet WAVE Network Video Recorder with 4 Professional licenses, Wisenet WAVE pre-installed, Seagate SkyHawk 2x 4TB raw, up to 150 Mbps recording B/W, 4x HDD Bays (3.5") up to 24TB, Intel CPU, Linux Ubuntu, HDMI, VGA output, 16 PoE+ camera ports with 200W total PoE budget, 320W power supply, Mouse included, Rail mount brackets included</t>
  </si>
  <si>
    <t>WRN-1610S-8CH-8TB</t>
  </si>
  <si>
    <t>2U Wisenet WAVE Network Video Recorder with 8 Professional licenses, Wisenet WAVE pre-installed, Seagate SkyHawk 2x 4TB raw, up to 150 Mbps recording B/W, 4x HDD Bays (3.5") up to 24TB, Intel CPU, Linux Ubuntu, HDMI, VGA output, 16 PoE+ camera ports with 200W total PoE budget, 320W power supply, Mouse included, Rail mount brackets included</t>
  </si>
  <si>
    <t>WRN-1610S-16CH-8TB</t>
  </si>
  <si>
    <t>2U Wisenet WAVE Network Video Recorder with 16 Professional licenses, Wisenet WAVE pre-installed, Seagate SkyHawk 2x 4TB raw, up to 150 Mbps recording B/W, 4x HDD Bays (3.5") up to 24TB, Intel CPU, Linux Ubuntu, HDMI, VGA output, 16 PoE+ camera ports with 200W total PoE budget, 320W power supply, Mouse included, Rail mount brackets included</t>
  </si>
  <si>
    <t>SBP-390WMW2</t>
  </si>
  <si>
    <t>Aluminum Wall mount compatible with PNM-7002VD/8082VT/9000VD/9002VQ/9022V/9084QZ/ 9084RQZ/9085RQZ/9322VQP, White</t>
  </si>
  <si>
    <t>Seagate EXOS 12TB 3.5" Enterprise HDD drive for use in Storage Servers and NVR that requires RAID storage, SATA 6Gb/s, 2.5 M hours MTBF (ST12000NM001G)</t>
  </si>
  <si>
    <t>ST12000NM001J-HW</t>
  </si>
  <si>
    <t>Seagate EXOS 12TB 3.5" Enterprise HDD drive for use in Storage Servers and NVR that requires RAID storage, SATA 6Gb/s, 2.5 M hours MTBF, 5-year limited warranty</t>
  </si>
  <si>
    <t>Seagate EXOS 14TB 3.5" Enterprise HDD drive for use in Storage Servers and NVR that requires RAID storage, SATA 6Gb/s, 2.5 M hours MTBF (ST14000NM001G)</t>
  </si>
  <si>
    <t>ST14000NM001J-HW</t>
  </si>
  <si>
    <t>Seagate EXOS 14TB 3.5" Enterprise HDD drive for use in Storage Servers and NVR that requires RAID storage, SATA 6Gb/s, 2.5 M hours MTBF, 5-year limited warranty</t>
  </si>
  <si>
    <t>Seagate EXOS 16TB 3.5" Enterprise HDD drive for use in Storage Servers and NVR that requires RAID storage, SATA 6Gb/s, 2.5 M hours MTBF (ST16000NM001G)</t>
  </si>
  <si>
    <t>ST16000NM001J-HW</t>
  </si>
  <si>
    <t>Seagate EXOS 16TB 3.5" Enterprise HDD drive for use in Storage Servers and NVR that requires RAID storage, SATA 6Gb/s, 2.5 M hours MTBF, 5-year limited warranty</t>
  </si>
  <si>
    <t>SAMSUNG-MB-MC256KA</t>
  </si>
  <si>
    <t>microSD EVO Plus card 256GB</t>
  </si>
  <si>
    <t>SAMSUNG-MB-MC256SA</t>
  </si>
  <si>
    <t>SAMSUNG-MB-MC512KA</t>
  </si>
  <si>
    <t>microSD EVO Plus card 512GB</t>
  </si>
  <si>
    <t>SAMSUNG-MB-MC512SA</t>
  </si>
  <si>
    <t>TNM-3620TDY</t>
  </si>
  <si>
    <t>Bi-spectrum Temperature Detection Thermal</t>
  </si>
  <si>
    <t>T series network Bi-spectrum Temperature Detection Thermal camera, Thermal: QVGA @30fps, 4.7mm uncooled micro bolometer, Estimated body temperature (EBT) accuracy : ±0.5°C(±0.3°C with Blackbody), Visible: 2MP@30fps, 4mm fixed lens (87.6°), extreme WDR @150dB, triple codec H.265/H.264/MJPEG with WiseStream II, Multiple streaming,  EBT: Temperature detection, Blackbody error, Advanced Video Analytics, Handover, 9 colour palettes, Digital Image Stabilization with built-in Gyro Sensor, Bi-directional audio and microSD/SDHC/SDXC slot, PoE+/12VDC</t>
  </si>
  <si>
    <t>SLA-2M2400D</t>
  </si>
  <si>
    <t>PNM-7000VD Lens module</t>
  </si>
  <si>
    <t>1/2.8" 2MP CMOS with a 2.4mm fixed lens module  for PNM-7000VD, FoV: H: 135.4˚, V: 71.2˚, 0.055Lux@F2.0 (Color, B/W), WDR (150dB), Electrical Day&amp;Night</t>
  </si>
  <si>
    <t>No replacement</t>
  </si>
  <si>
    <t>SLA-2M2800D</t>
  </si>
  <si>
    <t>1/2.8" 2MP CMOS with a 2.8mm fixed lens module for PNM-7000VD, FoV: H: 107.4˚, V: 62.2˚, 0.055Lux@F2.0 (Color, B/W), WDR (150dB), Electrical Day&amp;Night</t>
  </si>
  <si>
    <t>SLA-2M3600D</t>
  </si>
  <si>
    <t>1/2.8" 2MP CMOS with a 3.6mm fixed lens module for PNM-7000VD, FoV: H: 94.8˚, V: 49.3˚, 0.055Lux@F2.0 (Color, B/W), WDR (150dB), Electrical Day&amp;Night</t>
  </si>
  <si>
    <t>SLA-2M6000D</t>
  </si>
  <si>
    <t>1/2.8" 2MP CMOS with a 6.0mm fixed lens module for PNM-7000VD, FoV: H: 50.4˚, V: 28.8˚, 0.055Lux@F2.0 (Color, B/W), WDR (150dB), Electrical Day&amp;Night</t>
  </si>
  <si>
    <t>120W PSU</t>
  </si>
  <si>
    <t>SBP-167HMW</t>
  </si>
  <si>
    <t>Aluminum Hanging Mount for Indoor Vandal Dome cameras. Compatible with XND-8081VZ/8081RV/8081REV/6081VZ/6081V/6081RV/6081REV, PND-A9081RV, White</t>
  </si>
  <si>
    <t>19" LED Monitor, 600TVL (1280 x 1024),  HDMI, VGA, BNC, 4:3 aspect ratio, Contrast ratio 1,000 : 1, Response time 5ms, Built-in Speaker (2X1W),  VESA DPM Compatible</t>
  </si>
  <si>
    <t>64CH 32MP 400Mbps 16 Bay NVR w/ RAID5/6</t>
  </si>
  <si>
    <t>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No HDD included</t>
  </si>
  <si>
    <t>HRX-835-6TB-S</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</si>
  <si>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6TB Seagate SKyHawk HDD included (ST6000VX009)</t>
  </si>
  <si>
    <t>HRX-835-24TB-S</t>
  </si>
  <si>
    <t>8CH Pentabrid (AHD, HDTVI, HDCVI, CVBS, IP) Recorder - 4x 6TB HDD</t>
  </si>
  <si>
    <t>5-in-1 8CH+2CH (up to 10CH NW) Embeded DVR, Analog HD (max. 8MP), TVI (max. 8MP), CVI (max. 5MP), CVBS, IP (max. 8MP), triple codec H.265/H.264/MJPEG, max. 50Mbps recording / max. 32Mbps playback throughput, up to 4 internal SATA HDD (24TB max), 8CH Audio input/ 1CH Audio output, Coaxial Cable (Pelco-C), HDMI/VGA local dual monitor, SUNAPI, ONVIF, Easy configuration (Setup Wizard, P2P), Smartphone support (iOS &amp; Android), 4x 6TB Seagate SKyHawk HDD included (ST6000VX009)</t>
  </si>
  <si>
    <t>HRX-835A-24TB-S</t>
  </si>
  <si>
    <t>PRN-6405DB4</t>
  </si>
  <si>
    <t>64CH 32MP 400Mbps 16 Bay Dual SMPS AI NVR</t>
  </si>
  <si>
    <t>P series 64CH 32MP NVR, triple codec H.265/H.264/MJPEG compression, 400Mbps network camera recording / 32Mbps playback throughput, ARB (Automatic Recovery Backup) &amp; Failover (N+1), up to 16 SATA HDD (160TB max), HDMI local dual monitor, Dual SMPS,SUNAPI, ONVIF, Easy configuration (P2P), AI search, No HDD included</t>
  </si>
  <si>
    <t>PRN-6405B4</t>
  </si>
  <si>
    <t>64CH 32MP 400Mbps 16 Bay AI NVR</t>
  </si>
  <si>
    <t>P series 64CH 32MP NVR, triple codec H.265/H.264/MJPEG compression, 400Mbps network camera recording / 32Mbps playback throughput, ARB (Automatic Recovery Backup) &amp; Failover (N+1), up to 16 SATA HDD (160TB max), HDMI local dual monitor, SUNAPI, ONVIF, Easy configuration (P2P), AI search, No HDD included</t>
  </si>
  <si>
    <t>55'' Direct FHD Videowall Display</t>
  </si>
  <si>
    <t>55" Direct FHD LED Samsung Videowall Display, 1080p (1920x1080), Ultra Thin Bezel (Bezel to Bezel 1.7mm), 500nit, 16:9 aspect ratio, Contrast ratio 1200:1, 2xHDMI 2.0, 1x1.2 Display Port,WMN-55VD; 4K Daisy Chain, VESA Compatible (600x400mm)</t>
  </si>
  <si>
    <t>55" Direct FHD LED Samsung Videowall Display, 1080p (1920x1080), Ultra Thin Bezel (Bezel to Bezel 1.7mm), 700nit, 16:9 aspect ratio, Contrast ratio 1200:1, 2xHDMI 2.0, 1x1.2 Display Port,WMN-55VD; 4K Daisy Chain, VESA Compatible (600x400mm)</t>
  </si>
  <si>
    <t>55" Direct FHD LED Samsung Videowall Display, 1080p (1920x1080), Razor Thin Bezel (0.88mm), 700nit, 16:9 aspect ratio, Contrast ratio 1100:1, 2xHDMI 2.0, 1x1.2 Display Port,WMN-55VD; 4K Daisy Chain, VESA Compatible (600x400mm)</t>
  </si>
  <si>
    <t>SPA-M1000</t>
  </si>
  <si>
    <t>IP Microphone, +10dBV ±3dB Output level, 100Hz ~ 18kHz Frequency Response, PoE</t>
  </si>
  <si>
    <t>XRN-3210B4</t>
  </si>
  <si>
    <t>32CH 32MP 400Mbps 16 Bay NVR w/ RAID5/6</t>
  </si>
  <si>
    <t>X series 32CH 32MP NVR, triple codec H.265/H.264/MJPEG compression, 400Mbps network camera recording / 64Mbps playback throughput, ARB (Automatic Recovery Backup) &amp; Failover (N+1), up to 16 SATA HDD (160TB max), iSCSI storage, RAID-5/6 support, HDMI local dual monitor, SUNAPI, ONVIF, Easy configuration (P2P), AI search support when working with Wisenet AI camera, No HDD included</t>
  </si>
  <si>
    <t>XRN-6410DB4</t>
  </si>
  <si>
    <t>X series 64CH 32MP NVR, triple codec H.265/H.264/MJPEG compression, 400Mbps network camera recording / 64Mbps playback throughput, ARB (Automatic Recovery Backup) &amp; Failover (N+1), up to 16 SATA HDD (160TB max), iSCSI storage, RAID-5/6 support, HDMI local dual monitor, SUNAPI, ONVIF, Easy configuration (P2P), AI search support when working with Wisenet AI camera, Dual SMPS, No HDD included</t>
  </si>
  <si>
    <t>X series 8K NVR (Intel based), 64Ch, 16 SATA HDD bays (up to 10TB per HDD), H265/H264/MJPEG, SUNAPI, ONVIF, ARB (Automatic Recovery Backup) &amp; Failover (N+1), Up To 520 Mbps Recording / Up To 200 Mbps Playback, Dual Stream Recording, iSCSI, WiseStream Support, HDMI(x2) Dual Display, Alarm I/O, 2-way Audio, Maximum Camera Resolution of 32MP Recording/Display, Fisheye Dewarping (Local/CMS), AI Search (Wisenet AI Cameras Only), P2P QR Code, Support for RAID 5/6 (NOTE: RAID Cannot Be Configured With This HDD Configuration), HDD Hot Swap is available in RAID Mode. No HDD included</t>
  </si>
  <si>
    <t>SBP-201HM</t>
  </si>
  <si>
    <t>Hanging Mount, Material: Aluminum</t>
  </si>
  <si>
    <t>1U WAVE NVR with 4 WAVE Professional licenses pre installed, supports: 16 channels with 8 PoE/PoE+ ports (PoE Budget 100W),  2x HDD Bays (10TB max per HDD), 1x6TB HDD included</t>
  </si>
  <si>
    <t>1U WAVE NVR with 8 WAVE Professional licenses pre installed, supports: 16 channels with 8 PoE/PoE+ ports (PoE Budget 100W),  2x HDD Bays (10TB max per HDD), 1x8TB HDD included</t>
  </si>
  <si>
    <t>2U Wisenet WAVE Network Video Recorder with 8 Professional licenses, Wisenet WAVE pre-installed, up to 150 Mbps recording B/W, 4x HDD Bays (3.5") up to 24TB, Intel CPU, Linux Ubuntu, HDMI, VGA output, 16 PoE+ camera ports with 200W total PoE budget, 320W power supply, Mouse included, Rail mount brackets included, No HDD included (barebone)</t>
  </si>
  <si>
    <t>2U Wisenet WAVE Network Video Recorder with 16 Professional licenses, Wisenet WAVE pre-installed, up to 150 Mbps recording B/W, 4x HDD Bays (3.5") up to 24TB, Intel CPU, Linux Ubuntu, HDMI, VGA output, 16 PoE+ camera ports with 200W total PoE budget, 320W power supply, Mouse included, Rail mount brackets included, No HDD included (barebone)</t>
  </si>
  <si>
    <t>1U WAVE NVR with 16 WAVE Professional licenses pre installed, supports: 16 channels with 8 PoE/PoE+ ports (PoE Budget 100W),  2x HDD Bays (10TB max per HDD), 2x 8TB HDD included</t>
  </si>
  <si>
    <t>Wisenet WAVE 1U PoE NVR
with 4CH WAVE licence</t>
  </si>
  <si>
    <t>WRN-810S-4CH-4TB-HDV2</t>
  </si>
  <si>
    <t>Wisenet WAVE 1U PoE NVR - 4TB
with 4CH WAVE licence</t>
  </si>
  <si>
    <t>WRN-810S-8CH</t>
  </si>
  <si>
    <t>Wisenet WAVE 1U PoE NVR
with 8CH WAVE licence</t>
  </si>
  <si>
    <t>1U Wisenet WAVE Network Video Recorder with 8 Professional licenses,  Wisenet WAVE pre-installed, up to 80 Mbps recording B/W, 2x HDD Bays (3.5") up to 12TB, Intel CPU, Linux Ubuntu, HDMI, VGA output, 8 PoE+ camera ports with 100W total PoE budget, 164W power supply, Mouse included, Rail mount brackets included, No HDD included (barebone)</t>
  </si>
  <si>
    <t>WRN-810S-8CH-4TB-HDV2</t>
  </si>
  <si>
    <t>Wisenet WAVE 1U PoE NVR - 4TB
with 8CH WAVE licence</t>
  </si>
  <si>
    <t>SMT-1935</t>
  </si>
  <si>
    <t>4:3 19" LED Monitor</t>
  </si>
  <si>
    <t>24" FHD LED Monitor</t>
  </si>
  <si>
    <t>24" FHD Curved Monitor, 1080p (1920x1080), 250nit, 16:9 aspect ratio, Contrast ratio 1,000:1, Response time 4ms, HDMI, VGA, DVI, Speakers, VESA</t>
  </si>
  <si>
    <t>27" FHD Curved Monitor, 1080p (1920x1080), 250nit, 16:9 aspect ratio, Contrast ratio 3,000:1, Response time 5ms, HDMI, VGA, DVI, Speakers, VESA</t>
  </si>
  <si>
    <t>SPB-PTZ85W</t>
  </si>
  <si>
    <t>Smoked Dome Cover for PTZ PLUS models: XNP-6400/8250/9250, XNP-6400R/8250R/9250R</t>
  </si>
  <si>
    <t>XNP-8250</t>
  </si>
  <si>
    <t>6MP 25x Outdoor PTZ</t>
  </si>
  <si>
    <t>X series powered by Wisenet 7 network outdoor PTZ camera, 6MP @30fps, 25x Optical Zoom Lens (5 ~ 125mm) (57.42º ~ 2.71º), 360° Endless Pan range, 700°/sec Pan speed, Tilt: -20° ~ 90°, triple codec H.265/H.264/MJPEG with WiseStream II, Multiple streaming, extreme WDR (120dB), True Day &amp; Night (ICR),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</si>
  <si>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SPB-INW73</t>
  </si>
  <si>
    <t>Smoked Dome Cover for QND-8080R, White</t>
  </si>
  <si>
    <t>SPU-60240</t>
  </si>
  <si>
    <t>DC 24V Adapter for AI PVM</t>
  </si>
  <si>
    <t>24V 2.5A 60W DC Adapter for AI PVM monitors, compatible with SMT-3231PV/3221PV/2731PV/2721PV/1031PV/1031PVW</t>
  </si>
  <si>
    <t>60W(24V) Adaptor + Power Cord package, compatible with PVM lineup (SMT-3221PV/3231PV, SMT-2721PV/2731PV, SMT-1031PV/1031PVW)</t>
  </si>
  <si>
    <t>TRM-810S</t>
  </si>
  <si>
    <t>8CH 8MP H.265 Mobile NVR</t>
  </si>
  <si>
    <t>T series 8CH Mobile NVR, 8CH @8MP each, triple codec H.265/H.264/MJPEG with WiseStream, 80Mbps network camera recording, 2 front hot swap SATA HDD (4TB max), RAID-1, HDMI, VGA support, GPS Module (option), built-in Wi-Fi, SUNAPI, ONVIF, 8 PoE ports RJ45, 9-36VDC, EN50155, No HDD included</t>
  </si>
  <si>
    <t>TRM-410S</t>
  </si>
  <si>
    <t>4CH 8MP H.265 Mobile NVR</t>
  </si>
  <si>
    <t>T series 4CH Mobile NVR, 4CH @8MP each, triple codec H.265/H.264/MJPEG with WiseStream, 50Mbps network camera recording, 2 front hot swap SATA HDD (4TB max), HDMI, VGA support, GPS Module (option), built-in Wi-Fi, SUNAPI, ONVIF, 4 PoE ports RJ45, 9-36VDC, EN50155, No HDD included</t>
  </si>
  <si>
    <t>AMG250-2GBT-1S-P180</t>
  </si>
  <si>
    <t>PoE injector 2 port PoE Ethernet, 1 port SFP</t>
  </si>
  <si>
    <t xml:space="preserve"> 2 + 1 Industrial PoE Media Converter 2 x 10/100/1000Base-T(x) RJ45, Ports with 802.3bt 60/90W PoE &amp; 1 x 100/1000Base-Fx SFP Port, DIN Rail / Wall Mount, -40°C to +75°C. 48-56VDC Power Input. SFPs. NOT INCLUDED</t>
  </si>
  <si>
    <t>AMG260-1G-1S</t>
  </si>
  <si>
    <t>XND-8081VZ</t>
  </si>
  <si>
    <t>5MP PTRZ  Indoor Dome</t>
  </si>
  <si>
    <t>X series powered by Wisenet 5 network indoor vandal dome camera, Modular structure X PLUS, 5MP @30fps, 3.6 ~ 9.4mm motorized varifocal lens (2.6x) (102.5°~38.7°), Motorized Pan/Tilt/Rotate/Zoom, triple codec H.265/H.264/MJPEG with WiseStream II, Multiple streaming, 120dB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PoE/12VDC, white &amp; ivory colour skins included, optional black skin cover</t>
  </si>
  <si>
    <t>XND-8081FZ</t>
  </si>
  <si>
    <t>5MP Flush Mount PTRZ Dome</t>
  </si>
  <si>
    <t>X series powered by Wisenet 5 network flush mount indoor dome camera, Modular structure X PLUS, 5MP @30fps, 3.6 ~ 9.4mm motorized varifocal lens (2.6x) (102.5°~38.7°), Motorized Pan/Tilt/Rotate/Zoom, triple codec H.265/H.264/MJPEG with WiseStream II, Multiple streaming, 120dB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Plenum rate (UL2820), PoE/12VDC</t>
  </si>
  <si>
    <t>XND-8081RV</t>
  </si>
  <si>
    <t>X series powered by Wisenet 5 network IR indoor vandal dome camera, Modular structure X PLUS,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PoE/12VDC, white &amp; ivory colour skins included, optional black skin cover</t>
  </si>
  <si>
    <t>XND-8081RF</t>
  </si>
  <si>
    <t>5MP IR Flush Mount Dome</t>
  </si>
  <si>
    <t>X series powered by Wisenet 5 network IR flush mount dome camera, Modular structure X PLUS,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Plenum rate (UL2820), PoE/12VDC</t>
  </si>
  <si>
    <t>XNV-8081R</t>
  </si>
  <si>
    <t>X series powered by Wisenet 5 network IR outdoor vandal dome camera, Modular structure X PLUS, 5MP @30fps, 3.9 ~ 9.4mm motorized varifocal lens (2.4x) (92.1°~38.7°), triple codec H.265/H.264/MJPEG with WiseStream II, Multiple streaming, 120dB WDR, True Day &amp; Night (ICR), High Powered IR LEDs with IR viewable length 50m, Advanced Video Analytics and Sound Classification and Business Analytics, Shock Detection, Audio Playback, Hallway View, Motion detection, Fog detection, HLC, Digital Image Stabilization with built-in Gyro sensor, Bi-directional audio and dual microSD/SDHC/SDXC slot, ONVIF S/G/T, USB port for easy installation, IP67/IP66/IP6K9K, IK10+, Nema 4X, PoE/12VDC, optional 24VAC, white &amp; ivory colour skins included, optional black skin cover</t>
  </si>
  <si>
    <t>XND-6081V</t>
  </si>
  <si>
    <t>X series powered by Wisenet 5 network indoor vandal dome camera, Modular structure X PLUS, 2MP @60fps, 2.8 ~ 12.0mm motorized varifocal lens (4.3x) (119.5°~27.9°),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PoE/12VDC, white &amp; ivory colour skins included, optional black skin cover</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</si>
  <si>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</si>
  <si>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XND-6081VZ</t>
  </si>
  <si>
    <t>2MP Indoor PTRZ Dome</t>
  </si>
  <si>
    <t>X series powered by Wisenet 5 network indoor vandal dome camera, Modular structure X PLUS, 2MP @60fps, 2.8 ~ 12.0mm motorized varifocal lens (4.3x) (119.5°~27.9°), Motorized Pan/Tilt/Rotate/Zoom,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PoE/12VDC, white &amp; ivory colour skins included, optional black skin cover</t>
  </si>
  <si>
    <t>XND-6081RV</t>
  </si>
  <si>
    <t>X series powered by Wisenet 5 network IR indoor vandal dome camera, Modular structure X PLUS,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IP52, IK10, PoE/12VDC, white &amp; ivory colour skins included, optional black skin cover</t>
  </si>
  <si>
    <t>XNO-6085</t>
  </si>
  <si>
    <t>eXtraLUX Bullet</t>
  </si>
  <si>
    <t>X series powered by Wisenet 5 network outdoor vandal bullet camera, eXtraLUX features 1/2" sensor with F0.94 Lens, 2MP @60fps, 4.1 ~ 16.4mm motorized varifocal lens (optical 4x) (100°~26.2°), triple codec H.265/H.264/MJPEG with WiseStream II, Multiple streaming, 150dB WDR, True Day &amp; Night (ICR), Advanced Video Analytics and Sound Classification and Business Analytics, Hallway View, Motion detection, Fog detection, HLC, Handover, Digital Image Stabilization with built-in Gyro Sensor, Bi-directional audio and dual SD/SDHC/SDXC slot, USB port for easy installation, IP67, IK10, Nema 4X, PoE/12VDC/24VAC</t>
  </si>
  <si>
    <t>XND-6085</t>
  </si>
  <si>
    <t>eXtraLUX Indoor Dome</t>
  </si>
  <si>
    <t>X series powered by Wisenet 5 network indoor dome camera, eXtraLUX features 1/2" sensor, 2MP @60fps, 0.004 Lux@F0.94 (Color), 0.0004 Lux@F0.94 (B/W), 4.1 ~ 16.4mm motorized varifocal lens (optical 4x) (100.0°~26.2°), triple codec H.265/H.264/MJPEG with WiseStream II, Multiple streaming, 150dB WDR, True Day &amp; Night (ICR), Advanced Video Analytics and Sound Classification, Hallway View, Motion detection, Fog detection, HLC, Handover, Digital Image Stabilization with built-in Gyro sensor, , Bi-directional audio and dual SD/SDHC/SDXC slot, USB port for easy installation, PoE/12VDC</t>
  </si>
  <si>
    <t>XNV-6120</t>
  </si>
  <si>
    <t>2M 12X Outdoor Dome</t>
  </si>
  <si>
    <t>X series powered by Wisenet 5 network outdoor vandal dome camera, 2MP @60fps, Full HD(1080p), 5.2 ~ 62.4mm optical zoom lens (12x) (54.58°~5.30°),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microSD/SDHC/SDXC slot, USB port for easy installation, IP67, IK10, Nema 4X, PoE/12VDC/24VAC</t>
  </si>
  <si>
    <t>XNV-6085</t>
  </si>
  <si>
    <t>eXtraLUX Outdoor PTRZ Dome</t>
  </si>
  <si>
    <t>X series powered by Wisenet 5 network outdoor vandal dome camera, eXtraLUX features 1/2" sensor, 2MP @60fps, 0.004 Lux@F0.94 (Color), 0.0004 Lux@F0.94 (B/W), 4.1 ~ 16.4mm motorized varifocal lens (optical 4x) (100.0°~26.2°), triple codec H.265/H.264/MJPEG with WiseStream II, Multiple streaming, 150dB WDR, True Day &amp; Night (ICR), Advanced Video Analytics and Sound Classification, Hallway View, Motion detection, Fog detection, HLC, Handover, Digital Image Stabilization with built-in Gyro sensor, , Bi-directional audio and dual SD/SDHC/SDXC slot, USB port for easy installation, IP67, IK10, Nema 4X, PoE/12VDC/24VAC</t>
  </si>
  <si>
    <t>XNV-L6080</t>
  </si>
  <si>
    <t>X series powered by Wisenet 5 network outdoor vandal dome camera, 2MP @60fps, 3.2 ~ 10.0mm motorized varifocal lens (3.1x) (109.0°~33.2°), triple codec H.265/H.264/MJPEG with WiseStream II, Multiple streaming, 120dB WDR, True Day &amp; Night (ICR), Tampering, Defocus detection, Motion Detection, Fog detection, Hallway View, HLC, Digital Image Stabilization, single SD/SDHC/SDXC slot, USB port for easy installation, IP66, IK10, PoE</t>
  </si>
  <si>
    <t>XNV-L6080R</t>
  </si>
  <si>
    <t>X series powered by Wisenet 5 network IR outdoor vandal dome camera, 2MP @60fps, 3.2 ~ 10.0mm motorized varifocal lens (3.1x) (109.0°~33.2°), triple codec H.265/H.264/MJPEG with WiseStream II, Multiple streaming, 120dB WDR, True Day &amp; Night (ICR), IR viewable length 30m, Tampering, Defocus detection, Motion Detection, Fog detection, Hallway View, HLC, Digital Image Stabilization, single SD/SDHC/SDXC slot, USB port for easy installation, IP66, IK10, PoE</t>
  </si>
  <si>
    <t>SBP-276HMW</t>
  </si>
  <si>
    <t>Aluminum Hanging Mount for Multi-Directional Cameras. Compatible with PNM-9084QZ1, White</t>
  </si>
  <si>
    <t>SBP-317HMW</t>
  </si>
  <si>
    <t>Aluminum Hanging Mount for Multi-Directional cameras. Compatible with PNM-9084RQZ1/PNM-9085RQZ1, White</t>
  </si>
  <si>
    <t>SPB-INW13</t>
  </si>
  <si>
    <t>Smoked Dome Cover for QND-8010R/8020R/8030R, White</t>
  </si>
  <si>
    <t>ST1000VX005-HW</t>
  </si>
  <si>
    <t>Seagate SkyHawk HDD 1TB
(ST1000VX005)</t>
  </si>
  <si>
    <t>Seagate SkyHawk 1TB 3.5" Surveillance HDD drive for use in NVR/DVR, SATA 6Gb/s, 1 M hours MTBF, Worlkload rate limit 180TB/year, SkyHawk Health Management (ST1000VX005)</t>
  </si>
  <si>
    <t>ST8000VE001-HW</t>
  </si>
  <si>
    <t>Seagate SkyHawk AI HDD 8TB (ST8000VE001)</t>
  </si>
  <si>
    <t>Seagate SkyHawk AI 8TB 3.5" HDD for use in NVR/DVR, SATA 6Gb/s, max. sustained transfer rate 245MB/s, cache 256MB, average operating/idle power 10.1W/7.8W, MTBF 2 m hours, WRL 550 TB/year, SkyHawk Health Management and Rescue Data Recovery Services included (ST8000VE001)</t>
  </si>
  <si>
    <t>SBP-300HMW5</t>
  </si>
  <si>
    <t>Aluminum Hanging Mount for Fisheye and Flateye cameras. Compatible with XNF-8010RW/8010RVW, QNE-7080RVW/6080RVW, White</t>
  </si>
  <si>
    <t>SLA-5M7000Q</t>
  </si>
  <si>
    <t>1/1.8" 5MP CMOS with a 7.0mm fixed lens module for PNM-9000VQ, FoV: H: 50.7˚, V: 37.8˚, 0.16Lux@F1.6 (Color, B/W), WDR (120dB), Electrical Day&amp;Night, compatible with PNM-9002VQ</t>
  </si>
  <si>
    <t>SPB-VAN71</t>
  </si>
  <si>
    <t>Smoked Dome Cover for XNV-6120/6120R</t>
  </si>
  <si>
    <t>SPB-VAN81</t>
  </si>
  <si>
    <t>Smoked Dome Cover for XNV-6085</t>
  </si>
  <si>
    <t>XRN-6410RB2</t>
  </si>
  <si>
    <t>64CH 32MP 400Mbps 8 Bay NVR w/ RAID5/6</t>
  </si>
  <si>
    <r>
      <rPr>
        <rFont val="Arial"/>
        <color theme="1"/>
        <sz val="12.0"/>
      </rPr>
      <t xml:space="preserve">X series 64CH 32MP NVR, triple codec H.265/H.264/MJPEG compression, 400Mbps network camera recording / 64Mbps playback throughput, ARB (Automatic Recovery Backup) &amp; Failover (N+1), up to 8 SATA HDD (80TB max), iSCSI storage, RAID-5/6 support, HDMI local dual monitor, SUNAPI, ONVIF, Easy configuration (P2P), AI search support when working with Wisenet AI camera, </t>
    </r>
    <r>
      <rPr>
        <rFont val="Arial"/>
        <b/>
        <color theme="1"/>
        <sz val="12.0"/>
      </rPr>
      <t>No HDD included</t>
    </r>
  </si>
  <si>
    <t>1U-4BAY-SERVER-WINSERVEROS</t>
  </si>
  <si>
    <t>Upgrade to Windows Server Standard 2019</t>
  </si>
  <si>
    <t>Upgrade to Windows Server Standard 2019, applies to 1U 4 Bay Hot-swap Rackmount Servers (1U-4BAY-SERVER), must be ordered with the server</t>
  </si>
  <si>
    <t>Client Upgrade</t>
  </si>
  <si>
    <t>QUBE 4 MON UPGRADE T1000</t>
  </si>
  <si>
    <t>4x Monitor upgrade T1000 4x miniDP Outputs (SSM Only)</t>
  </si>
  <si>
    <t>4x Monitor upgrade (Must be ordered with Client Qube) Nvidia T1000 4x miniDP Outputs (SSM Only) Takes Client-Qube-i5 or i7 to 4 monitor out total. Complete with Mini Display Port to full size Display Port adapters</t>
  </si>
  <si>
    <t>XRN-6410B2</t>
  </si>
  <si>
    <t>64CH 32MP 400Mbps 8 Bay NVR</t>
  </si>
  <si>
    <t>X series 64CH 32MP NVR, triple codec H.265/H.264/MJPEG compression, 400Mbps network camera recording / 32Mbps playback throughput, ARB (Automatic Recovery Backup) &amp; Failover (N+1), up to 8 SATA HDD (80TB max), iSCSI storage, HDMI local dual monitor, SUNAPI, ONVIF, Easy configuration (P2P), AI search support when working with Wisenet AI camera, No HDD included</t>
  </si>
  <si>
    <t>32CH 32MP 400Mbps 8 Bay NVR w/ RAID5/6</t>
  </si>
  <si>
    <t>XRN-3210B2</t>
  </si>
  <si>
    <t>32CH 32MP 400Mbps 8 Bay NVR</t>
  </si>
  <si>
    <t>3X series 2CH 32MP NVR, triple codec H.265/H.264/MJPEG compression, 400Mbps network camera recording / 32Mbps playback throughput, ARB (Automatic Recovery Backup) &amp; Failover (N+1), up to 8 SATA HDD (80TB max), iSCSI storage, HDMI local dual monitor, SUNAPI, ONVIF, Easy configuration (P2P), AI search support when working with Wisenet AI camera, No HDD included</t>
  </si>
  <si>
    <t>AMG250-1GBT-1S-P90</t>
  </si>
  <si>
    <t>PoE injector 1 port PoE Ethernet, 1 port SFP</t>
  </si>
  <si>
    <t>Industrial Multirate PoE Media Converter 1 x 10/100/1000Base-T(x) RJ45 Port with 802.3bt 60/90W PoE, 1 x 100/1000Base-Fx SFP Port, DIN Rail / Wall Mount, -40°C to +75°C, 48-56VDC Power Input</t>
  </si>
  <si>
    <t>AMG350-4GAT-1G-P120</t>
  </si>
  <si>
    <t>4 port PoE Switch &amp; 1 Port Non POE</t>
  </si>
  <si>
    <t>Industrial 5 Port Unmanaged PoE Switch 4 x 10/100/1000Base-T(x) RJ45 Ports with 802.3at 30W PoE, 1 x 10/100/1000Base-T(x) RJ45 Port, DIN Rail / Wall Mount, -40°C to +75°C, 48-56VDC Power Input</t>
  </si>
  <si>
    <t>PoE Router</t>
  </si>
  <si>
    <t>AMG750-1G-4GAT-1E4-P120/HWEU</t>
  </si>
  <si>
    <t>Industrial 4G/LTE Cat4 EU PoE Router</t>
  </si>
  <si>
    <t>Industrial 4G/LTE Cat4 EU PoE Router 4 x 10/100/1000Base-T(x) RJ45 Ports with 802.3at 30W PoE, 1 x 10/100/1000Base-T(x) RJ45 WAN Port, WiFi, RS232/485 Serial, Dual SIM, DIN Rail Mount, -40°C to +75°C, 24-56VDC Power Input With Voltage Booster</t>
  </si>
  <si>
    <t>DSC-160-VC</t>
  </si>
  <si>
    <t>Skin Cover Developed for PTZ of the size of 80 Diameter</t>
  </si>
  <si>
    <t>DSC-160-PC</t>
  </si>
  <si>
    <t xml:space="preserve">Skin Cover developed for X-core Dome Camera only </t>
  </si>
  <si>
    <t>WD Purple Pro HDD 10TB
(WD101PURA-64B5KY0)</t>
  </si>
  <si>
    <t>PRN-1605B2</t>
  </si>
  <si>
    <t>16CH 32MP 400Mbps 8 Bay AI NVR</t>
  </si>
  <si>
    <t>P series 16CH 32MP NVR, triple codec H.265/H.264/MJPEG compression, 400Mbps network camera recording / 32Mbps playback throughput, ARB (Automatic Recovery Backup) &amp; Failover (N+1), up to 8 SATA HDD (80TB max), HDMI local dual monitor, SUNAPI, ONVIF, Easy configuration (P2P), AI search, No HDD included</t>
  </si>
  <si>
    <t>PRN-3205B2</t>
  </si>
  <si>
    <t>32CH 32MP 400Mbps 8 Bay AI NVR</t>
  </si>
  <si>
    <t>P series 32CH 32MP NVR, triple codec H.265/H.264/MJPEG compression, 400Mbps network camera recording / 32Mbps playback throughput, ARB (Automatic Recovery Backup) &amp; Failover (N+1), up to 8 SATA HDD (80TB max), HDMI local dual monitor, SUNAPI, ONVIF, Easy configuration (P2P), AI search, No HDD included</t>
  </si>
  <si>
    <t>SLA-2M2800P</t>
  </si>
  <si>
    <t>1/2.8" 2MP CMOS with a 2.8mm fixed lens module for PNM-9320VQP, FoV: H: 107.4˚, V: 62.2˚, 0.055Lux@F2.0 (Color, B/W), WDR (150dB), Electrical Day&amp;Night, compatible with PNM-9320VQP</t>
  </si>
  <si>
    <t>SLA-2M2800Q</t>
  </si>
  <si>
    <t>1/2.8" 2MP CMOS with a 2.8mm fixed lens module for PNM-9000VQ, FoV: H: 107.4˚, V: 62.2˚, 0.055Lux@F2.0 (Color, B/W), WDR (150dB), Electrical Day&amp;Night, compatible with PNM-9002VQ</t>
  </si>
  <si>
    <t>SLA-5M4600Q</t>
  </si>
  <si>
    <t>1/1.8" 5MP CMOS with a 4.6mm fixed lens module for PNM-9000VQ, FoV: H: 77.9˚, V: 57.9˚, 0.16Lux@F1.6 (Color, B/W), WDR (120dB), Electrical Day&amp;Night, compatible with PNM-9002VQ</t>
  </si>
  <si>
    <t>XNO-6120</t>
  </si>
  <si>
    <t>2M 12X Bullet</t>
  </si>
  <si>
    <t>X series powered by Wisenet 5 network outdoor vandal bullet camera, 2MP @60fps, Full HD(1080p), 5.2 ~ 62.4mm optical zoom lens (12x) (54.58°~5.30°),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IP67, IK10, Nema 4X, PoE/12VDC/24VAC</t>
  </si>
  <si>
    <t>X series Powered by WN7 and AI,8MP (4K UHD) @ 30FPS resolution, 6.91mm~214.64mm (31x) lens with Wise AF intelligent autofocus, adaptive Wise IR (250m), extreme WDR 120dB, Day &amp; Night ICR, H.265, H.264, MJPEG triple codec with WiseStream III (based on AI engine) support, Analytics events based on AI engine:Object detection (Person/Face/ Vehicle/License plate), Virtual line (Crossing/ Direction), Virtual area (Loitering/Intrusion/Enter/Exit), Analytics events: Defocus detection, Motion detection, Tampering, Fog detection, Audio detection, Sound classification (with NW I/O box), AI object auto-tracking (Person/Vehicle) with target lock tracking, BLC, HLC, SSDR, lens heater for water/snow removal, IP66, IP67, IK10, NEMA4X, NEMA-TS 2(2.2.8, 2.2.9),  FIPS 140-2, HPoE injector included, Operating Temperature -50°C~+55°C (-58°F ~ +131°F), (Compatible with I/O Box SPM-4210)</t>
  </si>
  <si>
    <t>SLA-2M2400Q</t>
  </si>
  <si>
    <t>1/2.8" 2MP CMOS with a 2.4mm fixed lens module for PNM-9000VQ, FoV: H: 135.4˚, V: 71.2˚, 0.055Lux@F2.0 (Color, B/W), WDR (150dB), Electrical Day&amp;Night, compatible with PNM-9002VQ</t>
  </si>
  <si>
    <t>ST12000VE001-HW</t>
  </si>
  <si>
    <t>Seagate SkyHawk AI HDD 12TB (ST12000VE001)</t>
  </si>
  <si>
    <t>Seagate SkyHawk AI 12TB 3.5" HDD for use in NVR/DVR, SATA 6Gb/s, max. sustained transfer rate 250MB/s, cache 256MB, average operating/idle power 6.8W/4.9W, MTBF 2 m hours, WRL 550 TB/year, SkyHawk Health Management and Rescue Data Recovery Services included (ST12000VE001)</t>
  </si>
  <si>
    <t>ST12000VE003-HW</t>
  </si>
  <si>
    <t>Seagate SkyHawk AI 12TB 3.5" HDD for use in NVR/DVR, SATA 6Gb/s, max. sustained transfer rate 250MB/s, cache 256MB, average operating/idle power 6.8W/4.9W, MTBF 2 m hours, WRL 550 TB/year, SkyHawk Health Management and Rescue Data Recovery Services included</t>
  </si>
  <si>
    <t>ST16000VE002-HW</t>
  </si>
  <si>
    <t>Seagate SkyHawk AI HDD 16TB (ST16000VE002)</t>
  </si>
  <si>
    <t>Seagate SkyHawk AI 16TB 3.5" HDD for use in NVR/DVR, SATA 6Gb/s, max. sustained transfer rate 250MB/s, cache 256MB, average operating/idle power 6.71W/5.1W, MTBF 2 m hours, WRL 550 TB/year, SkyHawk Health Management and Rescue Data Recovery Services included (ST16000VE002)</t>
  </si>
  <si>
    <t>ST16000VE004-HW</t>
  </si>
  <si>
    <t>Seagate SkyHawk AI 16TB 3.5" HDD for use in NVR/DVR, SATA 6Gb/s, max. sustained transfer rate 250MB/s, cache 256MB, average operating/idle power 6.71W/5.1W, MTBF 2 m hours, WRL 550 TB/year, SkyHawk Health Management and Rescue Data Recovery Services included</t>
  </si>
  <si>
    <t>HCP-6320HA</t>
  </si>
  <si>
    <t>HD+ series 2MP, Full HD(1080p) 30fps PTZ camera, Optical zoom lens 32X (4.44~142.6mm), RS485/Up coax (ACP protocol only) PTZ control, true WDR 120dB, Day &amp; Night (ICR), 24VAC, IP66 IK10</t>
  </si>
  <si>
    <t>43" UHD Monitor</t>
  </si>
  <si>
    <t>SMT-4345</t>
  </si>
  <si>
    <t>43" UHD LED Monitor, 4K UHD (3840 x 2160), HDMI, DP. PIP/PBP support, 16:9 aspect ratio, Contrast ratio 1,200 : 1, Response time 8ms, Panel life 30,000 hrs, Audio connector, VESA DPM Compatible (100x100mm, 400x200mm), Designed and tested on 24/7 operation, compatible with SBM-4343 stand (Stand can be purchased separately)</t>
  </si>
  <si>
    <t>XNV-6081Z</t>
  </si>
  <si>
    <t>2MP Outdoor PTRZ Dome</t>
  </si>
  <si>
    <t>X series powered by Wisenet 5 network outdoor vandal dome camera, Modular structure X PLUS, 2MP @60fps, 2.8 ~ 12.0mm motorized varifocal lens (4.3x) (119.5°~27.9°), Motorized Pan/Tilt/Rotate/Zoom, triple codec H.265/H.264/MJPEG with WiseStream II, Multiple streaming, 150dB WDR, True Day &amp; Night (ICR),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PoE/12VDC, optional 24VAC, white &amp; ivory colour skins included, optional black skin cover</t>
  </si>
  <si>
    <t>PNB-A6001</t>
  </si>
  <si>
    <t>P series network 2MP AI box camera, 2MP @120fps, triple codec H.265/H.264/MJPEG with WiseStream II, WiseStream III, Multiple streaming, 120dB WDR, Auto Day &amp; Night (ICR), Classified object type : Person/Face/Vehicle/ License plate with attributes, BestShot per object, Analytics events based on AI engine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PoE+/12VDC     ※ The lens is not included</t>
  </si>
  <si>
    <t>PNB-A9001</t>
  </si>
  <si>
    <t>P series network 8MP AI box camera, 8MP @30fps, triple codec H.265/H.264/MJPEG with WiseStream II, WiseStream III,  Multiple streaming, 120dB WDR, Auto Day &amp; Night (ICR), Classified object type : Person/Face/Vehicle/ License plate with attributes, BestShot per object, Analytics events based on AI engine : Object detection, Directional detection, Digital auto tracking, Enter/Exit, Loitering, Virtual line, Analytics events : Defocus detection, Motion detection, Appear/Disappear, Tampering, Audio detection, Sound classification, Shock detection, Business Analytics, Hallway view, Bi-directional audio and dual microSD/SDHC/SDXC slot, PoE+/12VDC     ※ The lens is not included</t>
  </si>
  <si>
    <t>P series Gen 2 8MP box camera</t>
  </si>
  <si>
    <t>PNB-A9001LP</t>
  </si>
  <si>
    <t>8MP AI ANPR Box</t>
  </si>
  <si>
    <t>P series network 8MP AI box camera with embedded Wisenet Road AI application for ANPR, MMCR (make, model, colour recognition) and vehicle classification analytics, smart search, black/white list, statistics, barrier control, VMS/JSON integration support, Pre-installed with 32GB Micro SD to support 10,000 ANPR images, 8MP @30fps, Excludes lens (C mount, CS mount), DC auto iris, P iris, Manual, I-CS, triple codec H.265/H.264/MJPEG with WiseStream II, Multiple streaming, Auto Day &amp; Night (ICR), other analytics events: Shock detection, Motion detection, Tampering detection, Defocus detection, Audio detection, Sound classification, Bi-directional audio, 1 Input/1 Output, PoE+/12VDC     ※ The lens is not included</t>
  </si>
  <si>
    <t>PNB-A9092LP</t>
  </si>
  <si>
    <t>P series Gen 2 8MP ANPR box camera</t>
  </si>
  <si>
    <t>T series Road AI 3MP High Speed Global Shutter Camera, 3MP Global Shutter Sensor, Maximum 55fps @3MP and 50fps @2MP on all resolutions, 6.8~120mm(18x) motorized varifocal, WiseIR 50m (164.04ft), Embedded Wisenet Road AI application with ANPR and MMCR Analytics, Recognition for up to 2 traffic lanes at speeds of up to 200kmh (125mph), List Management, Smart Search, Statistics, Installation aids LPR Setup Tool, Road AI Setup Wizard, USB/CVBS video output, PoE++, 12VDC (HPoE Injector is not included), • IP66, IK10, NEMA 4X, NEMA TS 2</t>
  </si>
  <si>
    <t>PNO-A9092RLP</t>
  </si>
  <si>
    <t>P series Gen 2 8MP ANPR bullet camera</t>
  </si>
  <si>
    <t>HRX-1635-3TB-S</t>
  </si>
  <si>
    <t>16CH Pentabrid (AHD, HDTVI, HDCVI, CVBS, IP) Recorder - 3TB HDD</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</si>
  <si>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3TB Seagate SkyHawk HDD included (ST3000VX015)</t>
  </si>
  <si>
    <t>HRX-1634-3TB-S</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</si>
  <si>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3TB Seagate SkyHawk HDD included (ST3000VX015)</t>
  </si>
  <si>
    <t>ST3000VX015-HW</t>
  </si>
  <si>
    <t>Seagate SkyHawk HDD 3TB
(ST3000VX015)</t>
  </si>
  <si>
    <t>Seagate SkyHawk 3TB 3.5" Surveillance HDD for use in NVR/DVR, SATA 6Gb/s, max. sustained transfer rate 180MB/s, cache 256MB, average operating/idle power 3.7W/2.5W, MTBF 1m hours, WRL 180TB/year, SkyHawk Health Management and Rescue Data Recovery Services included (ST3000VX015)</t>
  </si>
  <si>
    <t>WD Purple HDD 2TB
(WD20PURX-64AKYY0)</t>
  </si>
  <si>
    <t>WD Purple HDD 3TB
(WD30PURX-64AKYY0)</t>
  </si>
  <si>
    <t>WD Purple Pro HDD 8TB
(WD8001PURA-64B6VY0)</t>
  </si>
  <si>
    <t>5MP Box</t>
  </si>
  <si>
    <t>XNB-6005</t>
  </si>
  <si>
    <t>eXtraLUX Box</t>
  </si>
  <si>
    <t>X series powered by Wisenet 5 network box camera, eXtraLUX features 1/2" sensor, 2MP @60fps, 0.006 Lux@F1.2 (Color), 0.0006 Lux@F1.2 (B/W),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     ※ The lens is not included</t>
  </si>
  <si>
    <t>XNB-A6004</t>
  </si>
  <si>
    <t>X series powered by Wisenet 9 network box camera, 2MP, Dual NPU for AI-based Image enhancement. H.265/H.264: Max. 60fps/50fps(60Hz/50Hz)(WDR off), MJPEG: Max. 30fps, Analytics events based on AI engine : Object detection (Person/Face/Vehicle/License plate), IVA (Virtual line/Area, Enter/Exit, Loitering, Direction, Intrusion), Slip&amp;Fall detection, Face mask detection, Social distancing detection, Motion detection, Business intelligence based on AI engine : People/Vehicle/Crowd counting, Queue management, Heatmap, Support BestShot and full attributes, Support Dynamic Privacy Masking, extremeWDR, WiseNRⅡ(Based on AI engine), WiseStream(Based on AI engine), Device certificate(Hanwha Vision Root CA), Secure storage(Secure element with FIPS 140-3 level3/CC EAL6+ certified), SBOM</t>
  </si>
  <si>
    <t>XNB-8000</t>
  </si>
  <si>
    <t>X series powered by Wisenet 5 network box camera, 5MP @30fps, simple focus, triple codec H.265/H.264/MJPEG with WiseStream II, Multiple streaming, 120dB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     ※ The lens is not included</t>
  </si>
  <si>
    <t>XNB-A8004</t>
  </si>
  <si>
    <t>X series powered by Wisenet 9 network box camera, 5MP, Dual NPU for AI-based Image enhancement, H.265/H.264: Max. 60fps/50fps(60Hz/50Hz)(WDR off)(2MP), Max. 30fps/25fps(60Hz/50Hz)(5MP), MJPEG: Max. 30fps(@5MP Max. 5fps), Analytics events based on AI engine : Object detection (Person/Face/Vehicle/Licenseplate), IVA (Virtual line/Area, Enter/Exit, Loitering, Direction, Intrusion), Slip&amp;Falldetection, Face mask detection, Social distancing detection, Motion detection, Business intelligence based on AI engine : People/Vehicle/Crowd counting, Queuemanagement, Heatmap, Support BestShot and full attributes, Support Dynamic Privacy Masking, extremeWDR, WiseNRⅡ(Based on AI engine), WiseStream(Based on AI engine), Device certificate(Hanwha Vision Root CA), Secure storage(Secure element with FIPS140-3 level3/CC EAL6+ certified), SBOM</t>
  </si>
  <si>
    <t>XNB-8002</t>
  </si>
  <si>
    <t>6MP Box</t>
  </si>
  <si>
    <t>X series powered by Wisenet 7 network box camera, 6MP @30fps, triple codec H.265/H.264/MJPEG with WiseStream II, Multiple streaming, extreme WDR (120dB), Auto Day &amp; Night (ICR), Next level Cybersecurity, Licence-free onboard Advanced Video Analytics and Business Analytics, Sound Classification, Shock Detection, Audio Playback, Hallway View, Motion detection, Fog detection, Face/upper body detection, Digital Image Stabilization with Built-in Gyro sensor, Bi-directional audio and dual microSD/SDHC/SDXC slot, PoE/12VDC/24VAC     ※ The lens is not included</t>
  </si>
  <si>
    <t>XNB-8003</t>
  </si>
  <si>
    <t>6MP AI Box</t>
  </si>
  <si>
    <t>X series AI powered by Wisenet 7 AI network box camera, 1/1.8" progressive CMOS, 6MP @30fps, 0.03 Lux@F1.2 (Color), 0.03 Lux@F1.2 (B/W),30IRE simple focus, triple codec H.265/H.264/MJPEG with WiseStream III, Multiple streaming, 120dB WDR, True Day &amp; Night (ICR), Analytics events based on AI engine (NPU) : Object detection (Person/Face/Vehicle – car, truck, bus, bicycle, motorcycle/Licence plate), IVA (Virtual line/Area, Enter/Exit, Loitering, Direction, Intrusion), Analytics events: Defocus detection, Motion detection, Tampering, Fog detection, Audio detection, Sound classification, Shock detection, Appear/Disappear,Digital Image Stabilization with built-in Gyro sensor, Bi-directional audio and dual SD/SDHC/SDXC slot, USB port for easy installation, PoE/12VDC     ※ The lens is not included</t>
  </si>
  <si>
    <t>XNB-A9004</t>
  </si>
  <si>
    <t>X series powered by Wisenet 9 network box camera, 8MP, Dual NPU for AI-based Image enhancement, H.265/H.264: Max. 30fps/25fps(60Hz/50Hz), MJPEG: Max. 30fps (@8MP Max. 5fps), Analytics events based on AI engine :Object detection (Person/Face/Vehicle/License plate), IVA (Virtual line/Area, Enter/Exit, Loitering, Direction, Intrusion), Slip&amp;Fall detection, Face mask detection, Social distancing detection, Motion detection, Business intelligence based on AI engine : People/Vehicle/Crowd counting, Queue management, Heatmap, Support BestShot and full attributes, Support Dynamic Privacy Masking, extremeWDR, WiseNRⅡ(Based on AI engine), WiseStream(Based on AI engine), Device certificate(Hanwha Vision Root CA), Secure storage(Secure element with FIPS 140-3 level3/CC EAL6+ certified), SBOM</t>
  </si>
  <si>
    <t>PRN-3205B4</t>
  </si>
  <si>
    <t>32CH 32MP 400Mbps 16 Bay AI NVR</t>
  </si>
  <si>
    <t>P series 32CH 32MP NVR, triple codec H.265/H.264/MJPEG compression, 400Mbps network camera recording / 32Mbps playback throughput, ARB (Automatic Recovery Backup) &amp; Failover (N+1), up to 16 SATA HDD (160TB max), HDMI local dual monitor, SUNAPI, ONVIF, Easy configuration (P2P), AI search, No HDD included</t>
  </si>
  <si>
    <t>SLA-5M3700Q</t>
  </si>
  <si>
    <t>1/1.8" 5MP CMOS with a 3.7mm fixed lens module for PNM-9000VQ, FoV: H: 97.5˚, V: 71.9˚, 0.16Lux@F1.6 (Color, B/W), WDR (120dB), Electrical Day&amp;Night, compatible with PNM-9002VQ</t>
  </si>
  <si>
    <t>Seagate SkyHawk AI HDD 12TB (ST12000VE003)</t>
  </si>
  <si>
    <t>Seagate SkyHawk AI 12TB 3.5" HDD for use in NVR/DVR, SATA 6Gb/s, max. sustained transfer rate 250MB/s, cache 256MB, average operating/idle power 6.8W/4.9W, MTBF 2 m hours, WRL 550 TB/year, SkyHawk Health Management and Rescue Data Recovery Services included (ST12000VE003)</t>
  </si>
  <si>
    <t>Seagate SkyHawk AI HDD 16TB (ST16000VE004)</t>
  </si>
  <si>
    <t>Seagate SkyHawk AI 16TB 3.5" HDD for use in NVR/DVR, SATA 6Gb/s, max. sustained transfer rate 250MB/s, cache 256MB, average operating/idle power 6.71W/5.1W, MTBF 2 m hours, WRL 550 TB/year, SkyHawk Health Management and Rescue Data Recovery Services included (ST16000VE004)</t>
  </si>
  <si>
    <t>Seagate EXOS Enterprise HDD 12TB (ST12000NM001J)</t>
  </si>
  <si>
    <t>Seagate EXOS Enterprise HDD 14TB (ST14000NM001J)</t>
  </si>
  <si>
    <t>Seagate EXOS Enterprise HDD 16TB (ST16000NM001J)</t>
  </si>
  <si>
    <t>ST18000NM000J-HW</t>
  </si>
  <si>
    <t>Seagate EXOS Enterprise HDD 18TB (ST18000NM000J)</t>
  </si>
  <si>
    <t>Seagate EXOS 18TB 3.5" Enterprise HDD drive for use in Storage Servers and NVR that requires RAID storage, SATA 6Gb/s, 2.5 M hours MTBF (ST18000NM000J)</t>
  </si>
  <si>
    <t>ST20000NM007D-HW</t>
  </si>
  <si>
    <t>Seagate EXOS Enterprise HDD 20TB (ST20000NM007D)</t>
  </si>
  <si>
    <t>Seagate EXOS 20TB 3.5" Enterprise HDD drive for use in Storage Servers and NVR that requires RAID storage, SATA 6Gb/s, 2.5 M hours MTBF (ST20000NM007D)</t>
  </si>
  <si>
    <t>SLA-2M6000Q</t>
  </si>
  <si>
    <t>1/2.8" 2MP CMOS with a 6.0mm fixed lens module for PNM-9000VQ, FoV: H: 50.4˚, V: 28.8˚, 0.055Lux@F2.0 (Color, B/W), WDR (150dB), Electrical Day&amp;Night, compatible with PNM-9002VQ</t>
  </si>
  <si>
    <t>A2-NOMASK-APP-1CH</t>
  </si>
  <si>
    <t>Face Mask Detection App
1CH perpetual license</t>
  </si>
  <si>
    <t>Face Mask Detection App 1CH perpetual license, includes 12 months warranty. Can be added to Can be added to XNB-6000, XNO-6080R, XNO-6010R, XNO-6080R, XNV-6080, XNV-6080R, XND-6080, XND-6080R, XND-6080V, XND-6080RV, XND-6010, XNV-6010, XND-6020R, XNV-6020R, XNO-6120R, XNV-6120R and XNV-6120, XNV-6011 and XND-6011F models</t>
  </si>
  <si>
    <t>Face mask detecion is available in our P series cameras.</t>
  </si>
  <si>
    <t>A2-NOMASK-APP-25CH</t>
  </si>
  <si>
    <t>Face Mask Detection App
25CH perpetual license</t>
  </si>
  <si>
    <t>Face Mask Detection App 25CH perpetual license, includes 12 months warranty. Can be added to XNB-6000, XNO-6080R, XNO-6010R, XNO-6080R, XNV-6080, XNV-6080R, XND-6080, XND-6080R, XND-6080V, XND-6080RV, XND-6010, XNV-6010, XND-6020R, XNV-6020R, XNO-6120R, XNV-6120R and XNV-6120, XNV-6011 and XND-6011F models</t>
  </si>
  <si>
    <t>A2-NOMASK-APP-100CH</t>
  </si>
  <si>
    <t>Face Mask Detection App
100CH perpetual license</t>
  </si>
  <si>
    <t>Face Mask Detection App 100CH perpetual license, includes 12 months warranty. Can be added to XNB-6000, XNO-6080R, XNO-6010R, XNO-6080R, XNV-6080, XNV-6080R, XND-6080, XND-6080R, XND-6080V, XND-6080RV, XND-6010, XNV-6010, XND-6020R, XNV-6020R, XNO-6120R, XNV-6120R and XNV-6120, XNV-6011 and XND-6011F models</t>
  </si>
  <si>
    <t>A2-NOMASK-APP-250CH</t>
  </si>
  <si>
    <t>Face Mask Detection App
250CH perpetual license</t>
  </si>
  <si>
    <t>Face Mask Detection App 250CH perpetual license, includes 12 months warranty. Can be added to XNB-6000, XNO-6080R, XNO-6010R, XNO-6080R, XNV-6080, XNV-6080R, XND-6080, XND-6080R, XND-6080V, XND-6080RV, XND-6010, XNV-6010, XND-6020R, XNV-6020R, XNO-6120R, XNV-6120R and XNV-6120, XNV-6011 and XND-6011F models</t>
  </si>
  <si>
    <t>XNV-6011/MSK</t>
  </si>
  <si>
    <t>2MP Compact Vandal Dome
with Face Mask Detection App</t>
  </si>
  <si>
    <t>X series powered by Wisenet 5 network outdoor compact vandal dome camera with A2 Face Mask Detection App, 2MP @60fps, 2.8mm fixed lens (112°), triple codec H.265/H.264/MJPEG with WiseStream II, Multiple streaming, 150dB WDR,  Electronic Day &amp; Night , Advanced Video Analytics and Business Analytics, Hallway View, Motion detection, Fog detection, HLC, Handover, Digital Image Stabilization, SD/SDHC/SDXC slot, USB port for easy installation, IP66, IK10, Nema 4X, PoE</t>
  </si>
  <si>
    <t>XND-6010/MSK</t>
  </si>
  <si>
    <t>2MP Indoor Dome
with Face Mask Detection App</t>
  </si>
  <si>
    <t>X series powered by Wisenet 5 network indoor dome camera with A2 Face Mask Detection App, 2MP @60fps, 2.4mm fixed lens (139°), triple codec H.265/H.264/MJPEG with WiseStream II, Multiple streaming, 150dB WDR, True Day &amp; Night (ICR), Advanced Video Analytics and Sound Classification and Business Analytics, Hallway View, Motion detection, Fog detection, HLC, Handover, Digital Image Stabilization, Bi-directional audio and dual SD/SDHC/SDXC slot, IK08, PoE/12VDC</t>
  </si>
  <si>
    <t>XNB-6000/MSK</t>
  </si>
  <si>
    <t>2MP Box
with Face Mask Detection App</t>
  </si>
  <si>
    <t>X series powered by Wisenet 5 network box camera with A2 Face Mask Detection App,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</si>
  <si>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XNO-6080R/MSK</t>
  </si>
  <si>
    <t>2MP IR Bullet
with Face Mask Detection App</t>
  </si>
  <si>
    <t>X series powered by Wisenet 5 network IR outdoor vandal bullet camera with A2 Face Mask Detection App, 2MP @60fps, 2.8 ~ 12.0mm motorized vari-focal lens (4.3x) (119.5°~27.9°), triple codec H.265/H.264/MJPEG with WiseStream II, Multiple streaming, 150dB WDR, True Day &amp; Night (ICR), High Powered IR LEDs with IR viewable length 50m, Advanced Video Analytics and Sound Classification, Hallway View, Motion detection, Fog detection, HLC, Handover, Digital Image Stabilization, Bi-directional audio and dual SD/SDHC/SDXC slot, USB port for easy installation, IP67, IK10, Nema 4X, PoE/12VDC/24VAC</t>
  </si>
  <si>
    <t>XNP-9250R</t>
  </si>
  <si>
    <t>4K 25x IR Outdoor PTZ</t>
  </si>
  <si>
    <t>X series powered by Wisenet 7 network IR outdoor PTZ camera, 8MP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 (with NW I/O Box which can be purchased separately)</t>
  </si>
  <si>
    <t>SHD-3000F5</t>
  </si>
  <si>
    <t>Polycanonate In-ceiling Flush Mount, Aluminum, UL2820 Plenum rated,  White, Compatible withCompatible with the PNM-9000VQ &amp; PNM-9002VQ
※ For further compatible models, please visit our website or use Toolbox</t>
  </si>
  <si>
    <t>SBB-900</t>
  </si>
  <si>
    <t>Aluminum Wall Mount Adapter for box cameras enclosures, Bracket for SHB-9000H</t>
  </si>
  <si>
    <t>Access Control System</t>
  </si>
  <si>
    <t>X1100A-H003</t>
  </si>
  <si>
    <t>X1100 Intelligent Controller, 2 Door, TCP/IP</t>
  </si>
  <si>
    <t>ACS</t>
  </si>
  <si>
    <r>
      <rPr>
        <rFont val="Arial"/>
        <color rgb="FF000000"/>
        <sz val="12.0"/>
      </rPr>
      <t>Hanwha Access Control Intelligent Controller, 2 door controller, TCP/IP or 12/24vdc, 2 RS485 bus ports, supporting 4 OSDP or 2 Wiegand readers, 7 inputs (2x door sens, 2x REX, Tamper, AC Fail &amp; Battery Fail) and 4 FORM-C relay outputs.</t>
    </r>
    <r>
      <rPr>
        <rFont val="Arial"/>
        <color rgb="FFFF0000"/>
        <sz val="12.0"/>
      </rPr>
      <t>* Requires 3 ~ 4 weeks leadtime</t>
    </r>
  </si>
  <si>
    <t>X100A-H003</t>
  </si>
  <si>
    <t>X100 Expansion Board, 2 Door, RS485</t>
  </si>
  <si>
    <r>
      <rPr>
        <rFont val="Arial"/>
        <color rgb="FF000000"/>
        <sz val="12.0"/>
      </rPr>
      <t xml:space="preserve">Hanwha Access Control Expansion Board, 2 door controller, 12/24vdc 2 door controller, RS485, supporting 4 OSDP or 2 Wiegand readers, 7 inputs (2x door sens, 2x REX, Tamper, AC Fail &amp; Battery Fail), 4 FORM-C relay outputs and loop though power, </t>
    </r>
    <r>
      <rPr>
        <rFont val="Arial"/>
        <color rgb="FFFF0000"/>
        <sz val="12.0"/>
      </rPr>
      <t>* Requires 3 ~ 4 weeks leadtime</t>
    </r>
  </si>
  <si>
    <t>X200A-H003</t>
  </si>
  <si>
    <t>X200 Access Control Input Module, 16 inputs 2 outputs, RS485</t>
  </si>
  <si>
    <r>
      <rPr>
        <rFont val="Arial"/>
        <color rgb="FF000000"/>
        <sz val="12.0"/>
      </rPr>
      <t>Hanwha Access Control Input Module, RS485, 12/24vdc, 16 AUX inputs, Tamper, AC Fail &amp; Battery Fail, 2 FORM-C relay outputs and loop through power,</t>
    </r>
    <r>
      <rPr>
        <rFont val="Arial"/>
        <color rgb="FFFF0000"/>
        <sz val="12.0"/>
      </rPr>
      <t xml:space="preserve"> * Requires 3 ~ 4 weeks leadtime</t>
    </r>
  </si>
  <si>
    <t>X300A-H003</t>
  </si>
  <si>
    <t>X300 Access Control Output Module, 12 outputs &amp; 2 inputs, RS485</t>
  </si>
  <si>
    <r>
      <rPr>
        <rFont val="Arial"/>
        <color rgb="FF000000"/>
        <sz val="12.0"/>
      </rPr>
      <t xml:space="preserve">Hanwha Access Control Output Module, RS485, 12/24vdc, 12 FORM-C Relay outputs, 2 AUX inputs, Tamper, AC Fail &amp; Battery Fail and loop through power, </t>
    </r>
    <r>
      <rPr>
        <rFont val="Arial"/>
        <color rgb="FFFF0000"/>
        <sz val="12.0"/>
      </rPr>
      <t>* Requires a 3 ~ 4 weeks leadtime</t>
    </r>
  </si>
  <si>
    <t>20XTKK-X1-0011RW-H003</t>
  </si>
  <si>
    <t>SEOS Express Reader - 13.56MHz Wiegand</t>
  </si>
  <si>
    <r>
      <rPr>
        <rFont val="Arial"/>
        <color rgb="FF000000"/>
        <sz val="12.0"/>
      </rPr>
      <t>Hanwha Signo 20 Express (13.56MHz) SEOS Reader, Wiegand, NFC/BLE 2.4GHz, Mobile &amp; SEOS Cards,</t>
    </r>
    <r>
      <rPr>
        <rFont val="Arial"/>
        <color rgb="FFFF0000"/>
        <sz val="12.0"/>
      </rPr>
      <t xml:space="preserve"> * Requires 3 ~ 4 weeks leadtime</t>
    </r>
  </si>
  <si>
    <t>20TKS-01-00039R-H003</t>
  </si>
  <si>
    <t>SEOS Reader - 13.56MHz OSDP &amp; Wiegand</t>
  </si>
  <si>
    <r>
      <rPr>
        <rFont val="Arial"/>
        <color rgb="FF000000"/>
        <sz val="12.0"/>
      </rPr>
      <t>Hanwha Signo 20 (13.56MHz) SEOS Reader, Wiegand/OSDP, NFC/BLE 2.4GHz, Mobile &amp; SEOS Cards,</t>
    </r>
    <r>
      <rPr>
        <rFont val="Arial"/>
        <color rgb="FFFF0000"/>
        <sz val="12.0"/>
      </rPr>
      <t xml:space="preserve"> * Requires 3 ~ 4 weeks leadtime</t>
    </r>
  </si>
  <si>
    <t>20KTKS-01-00039R-H003</t>
  </si>
  <si>
    <t>SEOS Reader with Keypad - 13.56MHz OSDP &amp; Wiegand</t>
  </si>
  <si>
    <r>
      <rPr>
        <rFont val="Arial"/>
        <color rgb="FF000000"/>
        <sz val="12.0"/>
      </rPr>
      <t xml:space="preserve">Hanwha Signo 20 (13.56MHz) SEOS Reader &amp; Keypad, Wiegand/OSDP, NFC/BLE 2.4GHz, Mobile &amp; SEOS Cards, </t>
    </r>
    <r>
      <rPr>
        <rFont val="Arial"/>
        <color rgb="FFFF0000"/>
        <sz val="12.0"/>
      </rPr>
      <t>* Requires 3 ~ 4 weeks leadtime</t>
    </r>
  </si>
  <si>
    <t>40TKS-01-00039R-H003</t>
  </si>
  <si>
    <r>
      <rPr>
        <rFont val="Arial"/>
        <color rgb="FF000000"/>
        <sz val="12.0"/>
      </rPr>
      <t xml:space="preserve">Hanwha Signo 40 (13.56MHz) SEOS Reader, Wiegand/OSDP, NFC/BLE 2.4GHz, Mobile &amp; SEOS Cards, </t>
    </r>
    <r>
      <rPr>
        <rFont val="Arial"/>
        <color rgb="FFFF0000"/>
        <sz val="12.0"/>
      </rPr>
      <t>* Requires 3 ~ 4 weeks leadtime</t>
    </r>
  </si>
  <si>
    <t>40KTKS-01-00039R-H003</t>
  </si>
  <si>
    <r>
      <rPr>
        <rFont val="Arial"/>
        <color rgb="FF000000"/>
        <sz val="12.0"/>
      </rPr>
      <t xml:space="preserve">Hanwha Signo 40 (13.56MHz) SEOS Reader &amp; Keypad, Wiegand/OSDP, NFC/BLE 2.4GHz, Mobile &amp; SEOS Cards, </t>
    </r>
    <r>
      <rPr>
        <rFont val="Arial"/>
        <color rgb="FFFF0000"/>
        <sz val="12.0"/>
      </rPr>
      <t>* Requires 3 ~ 4 weeks leadtime</t>
    </r>
  </si>
  <si>
    <t>20TKS-00-00000P-H003</t>
  </si>
  <si>
    <t>SEOS Reader - 125kHz &amp; 13.56MHz OSDP &amp; Wiegand</t>
  </si>
  <si>
    <r>
      <rPr>
        <rFont val="Arial"/>
        <color rgb="FF000000"/>
        <sz val="12.0"/>
      </rPr>
      <t xml:space="preserve">Hanwha Signo 20 (13.56MHz) SEOS Reader, Wiegand/OSDP, NFC/BLE 2.4GHz, Mobile &amp; SEOS Cards, iCLASS, iCLASS SE/SR, MIFARE HID DESFire EV1/EV2/EV3 (SIO/CSN), MIFARE HID Classic (SIO/CSN) - 125kHz HID Prox/Indala Prox, 125kHz EM4102, </t>
    </r>
    <r>
      <rPr>
        <rFont val="Arial"/>
        <color rgb="FFFF0000"/>
        <sz val="12.0"/>
      </rPr>
      <t>* Requires 3 ~ 4 weeks leadtime</t>
    </r>
  </si>
  <si>
    <t>20KTKS-00-00000P-H003</t>
  </si>
  <si>
    <t>SEOS Reader with Keypad - 125kHz &amp; 13.56MHz OSDP &amp; Wiegand</t>
  </si>
  <si>
    <r>
      <rPr>
        <rFont val="Arial"/>
        <color rgb="FF000000"/>
        <sz val="12.0"/>
      </rPr>
      <t xml:space="preserve">Hanwha Signo 20 (13.56MHz) SEOS Reader &amp; Keypad, Wiegand/OSDP, NFC/BLE 2.4GHz, Mobile &amp; SEOS Cards, iCLASS, iCLASS SE/SR, MIFARE HID DESFire EV1/EV2/EV3 (SIO/CSN), MIFARE HID Classic (SIO/CSN) - 125kHz HID Prox/Indala Prox, 125kHz EM4102, </t>
    </r>
    <r>
      <rPr>
        <rFont val="Arial"/>
        <color rgb="FFFF0000"/>
        <sz val="12.0"/>
      </rPr>
      <t>* Requires 3 ~ 4 weeks leadtime</t>
    </r>
  </si>
  <si>
    <t>40TKS-00-00000P-H003</t>
  </si>
  <si>
    <r>
      <rPr>
        <rFont val="Arial"/>
        <color rgb="FF000000"/>
        <sz val="12.0"/>
      </rPr>
      <t>Hanwha Signo 40 (13.56MHz) SEOS Reader, Wiegand/OSDP, NFC/BLE 2.4GHz, Mobile &amp; SEOS Cards, iCLASS, iCLASS SE/SR, MIFARE HID DESFire EV1/EV2/EV3 (SIO/CSN), MIFARE HID Classic (SIO/CSN) - 125kHz HID Prox/Indala Prox, 125kHz EM4102,</t>
    </r>
    <r>
      <rPr>
        <rFont val="Arial"/>
        <color rgb="FFFF0000"/>
        <sz val="12.0"/>
      </rPr>
      <t xml:space="preserve"> * Requires 3 ~ 4 weeks leadtime</t>
    </r>
  </si>
  <si>
    <t>40KTKS-00-00000P-H003</t>
  </si>
  <si>
    <r>
      <rPr>
        <rFont val="Arial"/>
        <color rgb="FF000000"/>
        <sz val="12.0"/>
      </rPr>
      <t>Hanwha Signo 40 (13.56MHz) SEOS Reader &amp; Keypad, Wiegand/OSDP, NFC/BLE 2.4GHz, Mobile &amp; SEOS Cards, iCLASS, iCLASS SE/SR, MIFARE HID DESFire EV1/EV2/EV3 (SIO/CSN), MIFARE HID Classic (SIO/CSN) - 125kHz HID Prox/Indala Prox, 125kHz EM4102,</t>
    </r>
    <r>
      <rPr>
        <rFont val="Arial"/>
        <color rgb="FFFF0000"/>
        <sz val="12.0"/>
      </rPr>
      <t xml:space="preserve"> * Requires 3 ~ 4 weeks leadtime</t>
    </r>
  </si>
  <si>
    <t>5006PGGAN</t>
  </si>
  <si>
    <t>SEOS H10301 26bit Card, 13.56MHz Wiegand, Rolling CSN</t>
  </si>
  <si>
    <r>
      <rPr>
        <rFont val="Arial"/>
        <color rgb="FF000000"/>
        <sz val="12.0"/>
      </rPr>
      <t xml:space="preserve">Hanwha SEOS H10301, 8K Memory 13.56MHz card 26bit Wiegand, Rolling Card Serial Number (Please ensure Site code, quantity and card start range are provided). </t>
    </r>
    <r>
      <rPr>
        <rFont val="Arial"/>
        <color rgb="FFFF0000"/>
        <sz val="12.0"/>
      </rPr>
      <t>* Requires 3 ~ 4 weeks leadtime and minimum order quantity of 100</t>
    </r>
  </si>
  <si>
    <t>5006PGGAN7</t>
  </si>
  <si>
    <t>SEOS H10301 26bit Card, 13.56MHz Wiegand, Fixed CSN</t>
  </si>
  <si>
    <r>
      <rPr>
        <rFont val="Arial"/>
        <color rgb="FF000000"/>
        <sz val="12.0"/>
      </rPr>
      <t xml:space="preserve">Hanwha SEOS H10301, 8K Memory 13.56MHz card 26bit Wiegand, Fixed Card Serial Number (Please ensure Site code, quantity and card start range are provided).  </t>
    </r>
    <r>
      <rPr>
        <rFont val="Arial"/>
        <color rgb="FFFF0000"/>
        <sz val="12.0"/>
      </rPr>
      <t>* Requires 3 ~ 4 weeks leadtime and minimum order quantity of 100</t>
    </r>
  </si>
  <si>
    <t>SSA-M3000</t>
  </si>
  <si>
    <t>Management S/W (Max 32 doors)</t>
  </si>
  <si>
    <t>Hanwha Wisenet Access Cointrol Software License supporting 32 doors, 1st 6x doors free (license required for doors 7 to 32).</t>
  </si>
  <si>
    <t>SSA-M4000</t>
  </si>
  <si>
    <t>Management S/W (Max 256 doors)</t>
  </si>
  <si>
    <t>Hanwha Wisenet Access Cointrol Software License supporting 256 doors, 1st 6x doors free (license required for doors 7 to 256).</t>
  </si>
  <si>
    <t>SSA-M5000</t>
  </si>
  <si>
    <t>Management S/W (Unlimited doors)</t>
  </si>
  <si>
    <t>Hanwha Wisenet Access Cointrol Software License supporting an unlimited amount of doors, 1st 6x doors free (license required for doors 7 to unlimited).</t>
  </si>
  <si>
    <t>Lead time 12 weeks
NDAA Compliant</t>
  </si>
  <si>
    <t>SMT-1030PV</t>
  </si>
  <si>
    <t>10" IP PVM Monitor (Black)</t>
  </si>
  <si>
    <t>10.1" IP public view monitor, 1024x600, Ethernet, 16:9 aspect ratio, VESA mountable (75 x 75mm), black casing, face detection display for visual deterrent, customizable text overlay with pre-configured "recording in progress" OSD,  2MP IP camera built-in, 4.6mm fixed lens (73.8°H), 150dB WDR, H.265/H.264/MJPEG, WiseStream II compression technology, micro SD/SDHC/SDXC, 12V DC, PoE+</t>
  </si>
  <si>
    <r>
      <rPr>
        <rFont val="Arial"/>
        <color rgb="FF000000"/>
        <sz val="12.0"/>
      </rPr>
      <t>10.1" AI enabled IP public view monitor (AI PVM), Black Color ,1080p (1024x600 @60Hz), HDMI, Ethernet, 16:9 aspect ratio, Built-in speaker (8 Ohn, 1W x 2), VESA mountable (75 x 75mm), AI face &amp; Object detection display for visual deterrent, OSD, Slid show and logo image support 2MP IP camera built-in, 3.06mm fixed lens(107.7" H and 59.0V), 120dB WDR, H.265/H.264/MJPEG, slide show &amp; live video, PoE+ 802.3at, DC 24V. ***</t>
    </r>
    <r>
      <rPr>
        <rFont val="Arial"/>
        <b/>
        <color rgb="FFFF0000"/>
        <sz val="12.0"/>
      </rPr>
      <t>Power adapter not included</t>
    </r>
    <r>
      <rPr>
        <rFont val="Arial"/>
        <color rgb="FF000000"/>
        <sz val="12.0"/>
      </rPr>
      <t>***</t>
    </r>
  </si>
  <si>
    <t>SAMSUNG-MB-MC64SA</t>
  </si>
  <si>
    <t>microSD EVO Plus card 64GB</t>
  </si>
  <si>
    <t>SAMSUNG-MB-MC128SA</t>
  </si>
  <si>
    <t>microSD EVO Plus card 128GB</t>
  </si>
  <si>
    <t>SAMSUNG-MB-MJ256KA</t>
  </si>
  <si>
    <t>microSD card PRO Endurance 256GB</t>
  </si>
  <si>
    <t>Samsung PRO Endurance microSDHC card 256GB</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</si>
</sst>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yyyy\-mm\-dd"/>
    <numFmt numFmtId="165" formatCode="_(&quot;$&quot;* #,##0.00_);_(&quot;$&quot;* \(#,##0.00\);_(&quot;$&quot;* &quot;-&quot;??_);_(@_)"/>
    <numFmt numFmtId="166" formatCode="_(\€* #,##0.00_);_(\€* \(#,##0.00\);_(\€* &quot;-&quot;??_);_(@_)"/>
    <numFmt numFmtId="167" formatCode="_(&quot;₩&quot;* #,##0.00_);_(&quot;₩&quot;* \(#,##0.00\);_(&quot;₩&quot;* &quot;-&quot;??_);_(@_)"/>
    <numFmt numFmtId="168" formatCode="mmm\-yyyy"/>
    <numFmt numFmtId="169" formatCode="_(&quot;£&quot;* #,##0.00_);_(&quot;£&quot;* \(#,##0.00\);_(&quot;£&quot;* &quot;-&quot;??_);_(@_)"/>
    <numFmt numFmtId="170" formatCode="_-[$€-2]\ * #,##0.00_-;\-[$€-2]\ * #,##0.00_-;_-[$€-2]\ * &quot;-&quot;??_-;_-@"/>
    <numFmt numFmtId="171" formatCode="_-[$£-809]* #,##0.00_-;\-[$£-809]* #,##0.00_-;_-[$£-809]* &quot;-&quot;??_-;_-@"/>
    <numFmt numFmtId="172" formatCode="0.0%"/>
    <numFmt numFmtId="173" formatCode="_-[$$-409]* #,##0.00_ ;_-[$$-409]* \-#,##0.00\ ;_-[$$-409]* &quot;-&quot;??_ ;_-@_ "/>
    <numFmt numFmtId="174" formatCode="&quot;₩&quot;#,##0"/>
  </numFmts>
  <fonts count="34">
    <font>
      <sz val="11.0"/>
      <color theme="1"/>
      <name val="Calibri"/>
      <scheme val="minor"/>
    </font>
    <font>
      <sz val="12.0"/>
      <color rgb="FF000000"/>
      <name val="Arial"/>
    </font>
    <font>
      <sz val="12.0"/>
      <color rgb="FFFF0000"/>
      <name val="Arial"/>
    </font>
    <font>
      <sz val="12.0"/>
      <color theme="1"/>
      <name val="Arial"/>
    </font>
    <font>
      <b/>
      <sz val="20.0"/>
      <color rgb="FFF37321"/>
      <name val="Arial"/>
    </font>
    <font/>
    <font>
      <b/>
      <sz val="16.0"/>
      <color rgb="FFF37321"/>
      <name val="Arial"/>
    </font>
    <font>
      <b/>
      <sz val="12.0"/>
      <color theme="1"/>
      <name val="Arial"/>
    </font>
    <font>
      <sz val="12.0"/>
      <color theme="0"/>
      <name val="Arial"/>
    </font>
    <font>
      <u/>
      <sz val="11.0"/>
      <color theme="10"/>
      <name val="Calibri"/>
    </font>
    <font>
      <u/>
      <sz val="11.0"/>
      <color theme="10"/>
      <name val="Calibri"/>
    </font>
    <font>
      <sz val="14.0"/>
      <color rgb="FFFF0000"/>
      <name val="Arial"/>
    </font>
    <font>
      <b/>
      <sz val="20.0"/>
      <color rgb="FFFF9900"/>
      <name val="Arial"/>
    </font>
    <font>
      <b/>
      <sz val="12.0"/>
      <color rgb="FF004AB8"/>
      <name val="Arial"/>
    </font>
    <font>
      <sz val="11.0"/>
      <color rgb="FF000000"/>
      <name val="Calibri"/>
    </font>
    <font>
      <b/>
      <sz val="20.0"/>
      <color theme="1"/>
      <name val="Arial"/>
    </font>
    <font>
      <b/>
      <sz val="22.0"/>
      <color theme="0"/>
      <name val="Arial"/>
    </font>
    <font>
      <b/>
      <sz val="12.0"/>
      <color rgb="FFFF0000"/>
      <name val="Arial"/>
    </font>
    <font>
      <sz val="14.0"/>
      <color theme="0"/>
      <name val="Arial"/>
    </font>
    <font>
      <b/>
      <sz val="22.0"/>
      <color rgb="FFF2F2F2"/>
      <name val="Arial"/>
    </font>
    <font>
      <b/>
      <sz val="11.0"/>
      <color theme="0"/>
      <name val="Calibri"/>
    </font>
    <font>
      <u/>
      <sz val="11.0"/>
      <color theme="10"/>
      <name val="Calibri"/>
    </font>
    <font>
      <u/>
      <sz val="12.0"/>
      <color theme="10"/>
      <name val="Arial"/>
    </font>
    <font>
      <u/>
      <sz val="12.0"/>
      <color theme="10"/>
      <name val="Arial"/>
    </font>
    <font>
      <u/>
      <sz val="11.0"/>
      <color theme="10"/>
      <name val="Calibri"/>
    </font>
    <font>
      <b/>
      <sz val="18.0"/>
      <color theme="1"/>
      <name val="Arial"/>
    </font>
    <font>
      <u/>
      <sz val="11.0"/>
      <color theme="10"/>
      <name val="Calibri"/>
    </font>
    <font>
      <u/>
      <sz val="11.0"/>
      <color theme="10"/>
      <name val="Calibri"/>
    </font>
    <font>
      <u/>
      <sz val="11.0"/>
      <color theme="10"/>
      <name val="Calibri"/>
    </font>
    <font>
      <u/>
      <sz val="11.0"/>
      <color theme="10"/>
      <name val="Calibri"/>
    </font>
    <font>
      <u/>
      <sz val="11.0"/>
      <color theme="10"/>
      <name val="Calibri"/>
    </font>
    <font>
      <sz val="11.0"/>
      <color rgb="FF000000"/>
      <name val="Arial"/>
    </font>
    <font>
      <b/>
      <sz val="14.0"/>
      <color theme="1"/>
      <name val="Arial"/>
    </font>
    <font>
      <b/>
      <sz val="12.0"/>
      <color rgb="FF000000"/>
      <name val="Arial"/>
    </font>
  </fonts>
  <fills count="7">
    <fill>
      <patternFill patternType="none"/>
    </fill>
    <fill>
      <patternFill patternType="lightGray"/>
    </fill>
    <fill>
      <patternFill patternType="solid">
        <fgColor theme="0"/>
        <bgColor theme="0"/>
      </patternFill>
    </fill>
    <fill>
      <patternFill patternType="solid">
        <fgColor rgb="FFD6DCE4"/>
        <bgColor rgb="FFD6DCE4"/>
      </patternFill>
    </fill>
    <fill>
      <patternFill patternType="solid">
        <fgColor rgb="FF92D050"/>
        <bgColor rgb="FF92D050"/>
      </patternFill>
    </fill>
    <fill>
      <patternFill patternType="solid">
        <fgColor rgb="FFFFFF00"/>
        <bgColor rgb="FFFFFF00"/>
      </patternFill>
    </fill>
    <fill>
      <patternFill patternType="solid">
        <fgColor rgb="FFF37321"/>
        <bgColor rgb="FFF37321"/>
      </patternFill>
    </fill>
  </fills>
  <borders count="24">
    <border/>
    <border>
      <left/>
      <right/>
      <top/>
      <bottom/>
    </border>
    <border>
      <left/>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F2F2F2"/>
      </right>
      <top style="thin">
        <color rgb="FF000000"/>
      </top>
      <bottom style="thin">
        <color rgb="FF000000"/>
      </bottom>
    </border>
    <border>
      <left style="thin">
        <color rgb="FF000000"/>
      </left>
      <right style="thin">
        <color rgb="FF000000"/>
      </right>
    </border>
    <border>
      <left style="thin">
        <color rgb="FF000000"/>
      </left>
      <right/>
      <top/>
      <bottom style="thin">
        <color rgb="FF000000"/>
      </bottom>
    </border>
    <border>
      <bottom style="thin">
        <color rgb="FF000000"/>
      </bottom>
    </border>
    <border>
      <left/>
      <right/>
      <top/>
      <bottom style="thin">
        <color rgb="FF000000"/>
      </bottom>
    </border>
    <border>
      <top style="thin">
        <color rgb="FF000000"/>
      </top>
      <bottom style="thin">
        <color rgb="FF000000"/>
      </bottom>
    </border>
    <border>
      <top style="thin">
        <color rgb="FF000000"/>
      </top>
    </border>
    <border>
      <left style="thin">
        <color rgb="FF000000"/>
      </left>
      <top style="thin">
        <color rgb="FF000000"/>
      </top>
      <bottom style="thin">
        <color rgb="FF000000"/>
      </bottom>
    </border>
    <border>
      <left/>
      <right/>
      <top style="thin">
        <color rgb="FF000000"/>
      </top>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thin">
        <color rgb="FF000000"/>
      </top>
      <bottom style="thin">
        <color rgb="FF000000"/>
      </bottom>
    </border>
    <border>
      <right style="thin">
        <color rgb="FF000000"/>
      </right>
    </border>
  </borders>
  <cellStyleXfs count="1">
    <xf borderId="0" fillId="0" fontId="0" numFmtId="0" applyAlignment="1" applyFont="1"/>
  </cellStyleXfs>
  <cellXfs count="211">
    <xf borderId="0" fillId="0" fontId="0" numFmtId="0" xfId="0" applyAlignment="1" applyFont="1">
      <alignment readingOrder="0" shrinkToFit="0" vertical="center" wrapText="0"/>
    </xf>
    <xf borderId="0" fillId="0" fontId="1" numFmtId="0" xfId="0" applyAlignment="1" applyFont="1">
      <alignment horizontal="left" vertical="bottom"/>
    </xf>
    <xf borderId="1" fillId="2" fontId="1" numFmtId="0" xfId="0" applyAlignment="1" applyBorder="1" applyFill="1" applyFont="1">
      <alignment horizontal="center" vertical="bottom"/>
    </xf>
    <xf borderId="1" fillId="2" fontId="1" numFmtId="0" xfId="0" applyAlignment="1" applyBorder="1" applyFont="1">
      <alignment horizontal="center" shrinkToFit="0" vertical="bottom" wrapText="1"/>
    </xf>
    <xf borderId="1" fillId="2" fontId="1" numFmtId="164" xfId="0" applyAlignment="1" applyBorder="1" applyFont="1" applyNumberFormat="1">
      <alignment horizontal="center" vertical="bottom"/>
    </xf>
    <xf borderId="1" fillId="2" fontId="1" numFmtId="0" xfId="0" applyAlignment="1" applyBorder="1" applyFont="1">
      <alignment horizontal="left" vertical="bottom"/>
    </xf>
    <xf borderId="1" fillId="2" fontId="1" numFmtId="165" xfId="0" applyAlignment="1" applyBorder="1" applyFont="1" applyNumberFormat="1">
      <alignment horizontal="center" vertical="center"/>
    </xf>
    <xf borderId="1" fillId="2" fontId="1" numFmtId="166" xfId="0" applyAlignment="1" applyBorder="1" applyFont="1" applyNumberFormat="1">
      <alignment horizontal="center" vertical="center"/>
    </xf>
    <xf borderId="0" fillId="0" fontId="1" numFmtId="167" xfId="0" applyAlignment="1" applyFont="1" applyNumberFormat="1">
      <alignment horizontal="center" vertical="center"/>
    </xf>
    <xf borderId="0" fillId="0" fontId="2" numFmtId="0" xfId="0" applyAlignment="1" applyFont="1">
      <alignment horizontal="left" vertical="bottom"/>
    </xf>
    <xf borderId="1" fillId="2" fontId="2" numFmtId="0" xfId="0" applyAlignment="1" applyBorder="1" applyFont="1">
      <alignment horizontal="right" vertical="bottom"/>
    </xf>
    <xf borderId="1" fillId="2" fontId="2" numFmtId="0" xfId="0" applyAlignment="1" applyBorder="1" applyFont="1">
      <alignment horizontal="left" vertical="bottom"/>
    </xf>
    <xf borderId="1" fillId="2" fontId="3" numFmtId="0" xfId="0" applyAlignment="1" applyBorder="1" applyFont="1">
      <alignment horizontal="left" vertical="bottom"/>
    </xf>
    <xf borderId="0" fillId="0" fontId="1" numFmtId="0" xfId="0" applyAlignment="1" applyFont="1">
      <alignment vertical="bottom"/>
    </xf>
    <xf borderId="1" fillId="2" fontId="4" numFmtId="168" xfId="0" applyAlignment="1" applyBorder="1" applyFont="1" applyNumberFormat="1">
      <alignment horizontal="center" vertical="center"/>
    </xf>
    <xf borderId="2" fillId="2" fontId="4" numFmtId="168" xfId="0" applyAlignment="1" applyBorder="1" applyFont="1" applyNumberFormat="1">
      <alignment horizontal="left" vertical="center"/>
    </xf>
    <xf borderId="3" fillId="0" fontId="5" numFmtId="0" xfId="0" applyAlignment="1" applyBorder="1" applyFont="1">
      <alignment vertical="center"/>
    </xf>
    <xf borderId="1" fillId="2" fontId="6" numFmtId="168" xfId="0" applyAlignment="1" applyBorder="1" applyFont="1" applyNumberFormat="1">
      <alignment horizontal="left" vertical="center"/>
    </xf>
    <xf borderId="0" fillId="0" fontId="1" numFmtId="0" xfId="0" applyAlignment="1" applyFont="1">
      <alignment vertical="center"/>
    </xf>
    <xf borderId="0" fillId="0" fontId="1" numFmtId="0" xfId="0" applyAlignment="1" applyFont="1">
      <alignment horizontal="center" shrinkToFit="0" vertical="center" wrapText="1"/>
    </xf>
    <xf borderId="0" fillId="0" fontId="1" numFmtId="0" xfId="0" applyAlignment="1" applyFont="1">
      <alignment horizontal="center" vertical="center"/>
    </xf>
    <xf borderId="0" fillId="0" fontId="1" numFmtId="0" xfId="0" applyAlignment="1" applyFont="1">
      <alignment shrinkToFit="0" vertical="center" wrapText="1"/>
    </xf>
    <xf borderId="0" fillId="0" fontId="1" numFmtId="165" xfId="0" applyAlignment="1" applyFont="1" applyNumberFormat="1">
      <alignment horizontal="center" vertical="center"/>
    </xf>
    <xf borderId="1" fillId="2" fontId="7" numFmtId="165" xfId="0" applyAlignment="1" applyBorder="1" applyFont="1" applyNumberFormat="1">
      <alignment horizontal="center" shrinkToFit="0" vertical="center" wrapText="1"/>
    </xf>
    <xf borderId="1" fillId="2" fontId="3" numFmtId="164" xfId="0" applyAlignment="1" applyBorder="1" applyFont="1" applyNumberFormat="1">
      <alignment horizontal="center" shrinkToFit="0" vertical="center" wrapText="1"/>
    </xf>
    <xf borderId="1" fillId="2" fontId="7" numFmtId="165" xfId="0" applyAlignment="1" applyBorder="1" applyFont="1" applyNumberFormat="1">
      <alignment shrinkToFit="0" vertical="center" wrapText="1"/>
    </xf>
    <xf borderId="1" fillId="2" fontId="1" numFmtId="0" xfId="0" applyAlignment="1" applyBorder="1" applyFont="1">
      <alignment horizontal="center" vertical="center"/>
    </xf>
    <xf borderId="1" fillId="2" fontId="8" numFmtId="166" xfId="0" applyAlignment="1" applyBorder="1" applyFont="1" applyNumberFormat="1">
      <alignment horizontal="center" vertical="center"/>
    </xf>
    <xf borderId="0" fillId="0" fontId="8" numFmtId="167" xfId="0" applyAlignment="1" applyFont="1" applyNumberFormat="1">
      <alignment horizontal="center" vertical="center"/>
    </xf>
    <xf borderId="0" fillId="0" fontId="1" numFmtId="0" xfId="0" applyAlignment="1" applyFont="1">
      <alignment horizontal="center" vertical="bottom"/>
    </xf>
    <xf borderId="4" fillId="3" fontId="7" numFmtId="0" xfId="0" applyAlignment="1" applyBorder="1" applyFill="1" applyFont="1">
      <alignment horizontal="center" vertical="center"/>
    </xf>
    <xf borderId="4" fillId="3" fontId="7" numFmtId="0" xfId="0" applyAlignment="1" applyBorder="1" applyFont="1">
      <alignment horizontal="center" shrinkToFit="0" vertical="center" wrapText="1"/>
    </xf>
    <xf borderId="4" fillId="3" fontId="7" numFmtId="164" xfId="0" applyAlignment="1" applyBorder="1" applyFont="1" applyNumberFormat="1">
      <alignment horizontal="center" shrinkToFit="0" vertical="center" wrapText="1"/>
    </xf>
    <xf borderId="4" fillId="3" fontId="7" numFmtId="166" xfId="0" applyAlignment="1" applyBorder="1" applyFont="1" applyNumberFormat="1">
      <alignment horizontal="center" shrinkToFit="0" vertical="center" wrapText="1"/>
    </xf>
    <xf borderId="4" fillId="3" fontId="7" numFmtId="167" xfId="0" applyAlignment="1" applyBorder="1" applyFont="1" applyNumberFormat="1">
      <alignment horizontal="center" shrinkToFit="0" vertical="center" wrapText="1"/>
    </xf>
    <xf borderId="0" fillId="0" fontId="2" numFmtId="0" xfId="0" applyAlignment="1" applyFont="1">
      <alignment horizontal="center" vertical="bottom"/>
    </xf>
    <xf borderId="1" fillId="2" fontId="2" numFmtId="0" xfId="0" applyAlignment="1" applyBorder="1" applyFont="1">
      <alignment horizontal="center" vertical="bottom"/>
    </xf>
    <xf borderId="1" fillId="2" fontId="3" numFmtId="0" xfId="0" applyAlignment="1" applyBorder="1" applyFont="1">
      <alignment horizontal="center" vertical="bottom"/>
    </xf>
    <xf borderId="4" fillId="0" fontId="1" numFmtId="0" xfId="0" applyAlignment="1" applyBorder="1" applyFont="1">
      <alignment horizontal="center" vertical="center"/>
    </xf>
    <xf borderId="4" fillId="0" fontId="3"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4" fillId="0" fontId="3" numFmtId="164" xfId="0" applyAlignment="1" applyBorder="1" applyFont="1" applyNumberFormat="1">
      <alignment horizontal="center" shrinkToFit="0" vertical="center" wrapText="1"/>
    </xf>
    <xf borderId="4" fillId="0" fontId="1" numFmtId="0" xfId="0" applyAlignment="1" applyBorder="1" applyFont="1">
      <alignment horizontal="left" shrinkToFit="0" vertical="center" wrapText="1"/>
    </xf>
    <xf borderId="4" fillId="0" fontId="9" numFmtId="4" xfId="0" applyAlignment="1" applyBorder="1" applyFont="1" applyNumberFormat="1">
      <alignment horizontal="center" vertical="center"/>
    </xf>
    <xf borderId="4" fillId="0" fontId="1" numFmtId="166" xfId="0" applyAlignment="1" applyBorder="1" applyFont="1" applyNumberFormat="1">
      <alignment horizontal="center" vertical="center"/>
    </xf>
    <xf borderId="5" fillId="0" fontId="1" numFmtId="4" xfId="0" applyAlignment="1" applyBorder="1" applyFont="1" applyNumberFormat="1">
      <alignment horizontal="center" vertical="center"/>
    </xf>
    <xf borderId="0" fillId="0" fontId="2" numFmtId="0" xfId="0" applyAlignment="1" applyFont="1">
      <alignment horizontal="right" vertical="bottom"/>
    </xf>
    <xf borderId="0" fillId="0" fontId="3" numFmtId="0" xfId="0" applyAlignment="1" applyFont="1">
      <alignment horizontal="center" vertical="bottom"/>
    </xf>
    <xf borderId="4" fillId="0" fontId="1" numFmtId="0" xfId="0" applyAlignment="1" applyBorder="1" applyFont="1">
      <alignment shrinkToFit="0" vertical="center" wrapText="1"/>
    </xf>
    <xf borderId="0" fillId="0" fontId="3" numFmtId="0" xfId="0" applyAlignment="1" applyFont="1">
      <alignment horizontal="center" shrinkToFit="0" vertical="center" wrapText="1"/>
    </xf>
    <xf borderId="0" fillId="0" fontId="1" numFmtId="0" xfId="0" applyAlignment="1" applyFont="1">
      <alignment horizontal="left" shrinkToFit="0" vertical="center" wrapText="1"/>
    </xf>
    <xf borderId="0" fillId="0" fontId="10" numFmtId="4" xfId="0" applyAlignment="1" applyFont="1" applyNumberFormat="1">
      <alignment horizontal="center" vertical="center"/>
    </xf>
    <xf borderId="0" fillId="0" fontId="1" numFmtId="166" xfId="0" applyAlignment="1" applyFont="1" applyNumberFormat="1">
      <alignment horizontal="center" vertical="center"/>
    </xf>
    <xf borderId="0" fillId="0" fontId="8" numFmtId="169" xfId="0" applyAlignment="1" applyFont="1" applyNumberFormat="1">
      <alignment horizontal="center" vertical="center"/>
    </xf>
    <xf borderId="4" fillId="3" fontId="7" numFmtId="169" xfId="0" applyAlignment="1" applyBorder="1" applyFont="1" applyNumberFormat="1">
      <alignment horizontal="center" shrinkToFit="0" vertical="center" wrapText="1"/>
    </xf>
    <xf borderId="4" fillId="4" fontId="1" numFmtId="166" xfId="0" applyAlignment="1" applyBorder="1" applyFill="1" applyFont="1" applyNumberFormat="1">
      <alignment horizontal="center" vertical="center"/>
    </xf>
    <xf borderId="4" fillId="0" fontId="1" numFmtId="169" xfId="0" applyAlignment="1" applyBorder="1" applyFont="1" applyNumberFormat="1">
      <alignment horizontal="center" vertical="center"/>
    </xf>
    <xf borderId="1" fillId="2" fontId="1" numFmtId="167" xfId="0" applyAlignment="1" applyBorder="1" applyFont="1" applyNumberFormat="1">
      <alignment horizontal="center" vertical="center"/>
    </xf>
    <xf borderId="0" fillId="0" fontId="2" numFmtId="165" xfId="0" applyAlignment="1" applyFont="1" applyNumberFormat="1">
      <alignment horizontal="center" vertical="center"/>
    </xf>
    <xf borderId="0" fillId="0" fontId="11" numFmtId="0" xfId="0" applyAlignment="1" applyFont="1">
      <alignment horizontal="left" vertical="bottom"/>
    </xf>
    <xf borderId="1" fillId="2" fontId="8" numFmtId="0" xfId="0" applyAlignment="1" applyBorder="1" applyFont="1">
      <alignment horizontal="right" vertical="bottom"/>
    </xf>
    <xf borderId="1" fillId="2" fontId="8" numFmtId="0" xfId="0" applyAlignment="1" applyBorder="1" applyFont="1">
      <alignment horizontal="left" vertical="bottom"/>
    </xf>
    <xf borderId="1" fillId="2" fontId="12" numFmtId="0" xfId="0" applyAlignment="1" applyBorder="1" applyFont="1">
      <alignment vertical="center"/>
    </xf>
    <xf borderId="1" fillId="2" fontId="13" numFmtId="0" xfId="0" applyAlignment="1" applyBorder="1" applyFont="1">
      <alignment horizontal="center" vertical="center"/>
    </xf>
    <xf borderId="1" fillId="2" fontId="13" numFmtId="9" xfId="0" applyAlignment="1" applyBorder="1" applyFont="1" applyNumberFormat="1">
      <alignment horizontal="center" shrinkToFit="0" vertical="center" wrapText="1"/>
    </xf>
    <xf borderId="0" fillId="0" fontId="14" numFmtId="0" xfId="0" applyAlignment="1" applyFont="1">
      <alignment vertical="bottom"/>
    </xf>
    <xf borderId="1" fillId="2" fontId="13" numFmtId="166" xfId="0" applyAlignment="1" applyBorder="1" applyFont="1" applyNumberFormat="1">
      <alignment horizontal="center" vertical="center"/>
    </xf>
    <xf borderId="1" fillId="2" fontId="15" numFmtId="165" xfId="0" applyAlignment="1" applyBorder="1" applyFont="1" applyNumberFormat="1">
      <alignment horizontal="center" vertical="center"/>
    </xf>
    <xf borderId="0" fillId="0" fontId="11" numFmtId="0" xfId="0" applyAlignment="1" applyFont="1">
      <alignment horizontal="center" vertical="bottom"/>
    </xf>
    <xf borderId="0" fillId="0" fontId="16" numFmtId="0" xfId="0" applyAlignment="1" applyFont="1">
      <alignment horizontal="left" vertical="center"/>
    </xf>
    <xf borderId="0" fillId="0" fontId="16" numFmtId="0" xfId="0" applyAlignment="1" applyFont="1">
      <alignment horizontal="center" vertical="center"/>
    </xf>
    <xf borderId="6" fillId="0" fontId="7" numFmtId="165" xfId="0" applyAlignment="1" applyBorder="1" applyFont="1" applyNumberFormat="1">
      <alignment horizontal="center" shrinkToFit="0" vertical="center" wrapText="1"/>
    </xf>
    <xf borderId="0" fillId="0" fontId="17" numFmtId="165" xfId="0" applyAlignment="1" applyFont="1" applyNumberFormat="1">
      <alignment horizontal="center" shrinkToFit="0" vertical="center" wrapText="1"/>
    </xf>
    <xf borderId="0" fillId="0" fontId="18" numFmtId="0" xfId="0" applyAlignment="1" applyFont="1">
      <alignment horizontal="left" vertical="bottom"/>
    </xf>
    <xf borderId="0" fillId="0" fontId="18" numFmtId="170" xfId="0" applyAlignment="1" applyFont="1" applyNumberFormat="1">
      <alignment horizontal="center" vertical="bottom"/>
    </xf>
    <xf borderId="0" fillId="0" fontId="8" numFmtId="0" xfId="0" applyAlignment="1" applyFont="1">
      <alignment horizontal="left" vertical="bottom"/>
    </xf>
    <xf borderId="0" fillId="0" fontId="19" numFmtId="0" xfId="0" applyAlignment="1" applyFont="1">
      <alignment horizontal="left" vertical="center"/>
    </xf>
    <xf borderId="0" fillId="0" fontId="19" numFmtId="0" xfId="0" applyAlignment="1" applyFont="1">
      <alignment horizontal="center" vertical="center"/>
    </xf>
    <xf borderId="5" fillId="0" fontId="5" numFmtId="0" xfId="0" applyAlignment="1" applyBorder="1" applyFont="1">
      <alignment vertical="center"/>
    </xf>
    <xf borderId="0" fillId="0" fontId="18" numFmtId="171" xfId="0" applyAlignment="1" applyFont="1" applyNumberFormat="1">
      <alignment horizontal="center" vertical="bottom"/>
    </xf>
    <xf borderId="4" fillId="3" fontId="7" numFmtId="0" xfId="0" applyAlignment="1" applyBorder="1" applyFont="1">
      <alignment horizontal="center" readingOrder="0" shrinkToFit="0" vertical="center" wrapText="1"/>
    </xf>
    <xf borderId="0" fillId="0" fontId="7" numFmtId="167" xfId="0" applyAlignment="1" applyFont="1" applyNumberFormat="1">
      <alignment horizontal="center" shrinkToFit="0" vertical="center" wrapText="1"/>
    </xf>
    <xf borderId="4" fillId="5" fontId="7" numFmtId="172" xfId="0" applyAlignment="1" applyBorder="1" applyFill="1" applyFont="1" applyNumberFormat="1">
      <alignment horizontal="center" shrinkToFit="0" vertical="center" wrapText="1"/>
    </xf>
    <xf borderId="0" fillId="0" fontId="17" numFmtId="172" xfId="0" applyAlignment="1" applyFont="1" applyNumberFormat="1">
      <alignment horizontal="center" shrinkToFit="0" vertical="center" wrapText="1"/>
    </xf>
    <xf borderId="0" fillId="0" fontId="11" numFmtId="171" xfId="0" applyAlignment="1" applyFont="1" applyNumberFormat="1">
      <alignment horizontal="center" vertical="bottom"/>
    </xf>
    <xf borderId="1" fillId="2" fontId="8" numFmtId="0" xfId="0" applyAlignment="1" applyBorder="1" applyFont="1">
      <alignment horizontal="center" vertical="bottom"/>
    </xf>
    <xf borderId="7" fillId="6" fontId="19" numFmtId="0" xfId="0" applyAlignment="1" applyBorder="1" applyFill="1" applyFont="1">
      <alignment horizontal="left" vertical="center"/>
    </xf>
    <xf borderId="8" fillId="6" fontId="19" numFmtId="0" xfId="0" applyAlignment="1" applyBorder="1" applyFont="1">
      <alignment horizontal="center" vertical="center"/>
    </xf>
    <xf borderId="8" fillId="6" fontId="19" numFmtId="0" xfId="0" applyAlignment="1" applyBorder="1" applyFont="1">
      <alignment horizontal="left" vertical="center"/>
    </xf>
    <xf borderId="9" fillId="6" fontId="19" numFmtId="0" xfId="0" applyAlignment="1" applyBorder="1" applyFont="1">
      <alignment horizontal="left" vertical="center"/>
    </xf>
    <xf borderId="7" fillId="6" fontId="18" numFmtId="0" xfId="0" applyAlignment="1" applyBorder="1" applyFont="1">
      <alignment horizontal="center" vertical="bottom"/>
    </xf>
    <xf borderId="0" fillId="0" fontId="11" numFmtId="173" xfId="0" applyAlignment="1" applyFont="1" applyNumberFormat="1">
      <alignment horizontal="center" vertical="bottom"/>
    </xf>
    <xf borderId="1" fillId="2" fontId="20" numFmtId="0" xfId="0" applyAlignment="1" applyBorder="1" applyFont="1">
      <alignment horizontal="center" vertical="bottom"/>
    </xf>
    <xf borderId="10" fillId="3" fontId="4" numFmtId="0" xfId="0" applyAlignment="1" applyBorder="1" applyFont="1">
      <alignment vertical="center"/>
    </xf>
    <xf borderId="8" fillId="3" fontId="7" numFmtId="0" xfId="0" applyAlignment="1" applyBorder="1" applyFont="1">
      <alignment horizontal="center" shrinkToFit="0" vertical="center" wrapText="1"/>
    </xf>
    <xf borderId="9" fillId="3" fontId="7" numFmtId="166" xfId="0" applyAlignment="1" applyBorder="1" applyFont="1" applyNumberFormat="1">
      <alignment horizontal="center" shrinkToFit="0" vertical="center" wrapText="1"/>
    </xf>
    <xf borderId="7" fillId="3" fontId="7" numFmtId="172" xfId="0" applyAlignment="1" applyBorder="1" applyFont="1" applyNumberFormat="1">
      <alignment horizontal="center" shrinkToFit="0" vertical="center" wrapText="1"/>
    </xf>
    <xf borderId="0" fillId="0" fontId="2" numFmtId="4" xfId="0" applyAlignment="1" applyFont="1" applyNumberFormat="1">
      <alignment horizontal="center" vertical="center"/>
    </xf>
    <xf borderId="0" fillId="0" fontId="8" numFmtId="0" xfId="0" applyAlignment="1" applyFont="1">
      <alignment horizontal="center" vertical="bottom"/>
    </xf>
    <xf borderId="4" fillId="0" fontId="3" numFmtId="0" xfId="0" applyAlignment="1" applyBorder="1" applyFont="1">
      <alignment horizontal="center" vertical="center"/>
    </xf>
    <xf borderId="6" fillId="0" fontId="21" numFmtId="4" xfId="0" applyAlignment="1" applyBorder="1" applyFont="1" applyNumberFormat="1">
      <alignment horizontal="center" vertical="center"/>
    </xf>
    <xf borderId="0" fillId="0" fontId="8" numFmtId="0" xfId="0" applyAlignment="1" applyFont="1">
      <alignment horizontal="right" vertical="bottom"/>
    </xf>
    <xf borderId="6" fillId="0" fontId="1" numFmtId="0" xfId="0" applyAlignment="1" applyBorder="1" applyFont="1">
      <alignment horizontal="center" vertical="center"/>
    </xf>
    <xf borderId="6" fillId="0" fontId="3"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3" numFmtId="164" xfId="0" applyAlignment="1" applyBorder="1" applyFont="1" applyNumberFormat="1">
      <alignment horizontal="center" shrinkToFit="0" vertical="center" wrapText="1"/>
    </xf>
    <xf borderId="6" fillId="0" fontId="1" numFmtId="0" xfId="0" applyAlignment="1" applyBorder="1" applyFont="1">
      <alignment shrinkToFit="0" vertical="center" wrapText="1"/>
    </xf>
    <xf borderId="6" fillId="0" fontId="22" numFmtId="4" xfId="0" applyAlignment="1" applyBorder="1" applyFont="1" applyNumberFormat="1">
      <alignment horizontal="center" vertical="center"/>
    </xf>
    <xf borderId="4" fillId="0" fontId="23" numFmtId="4" xfId="0" applyAlignment="1" applyBorder="1" applyFont="1" applyNumberFormat="1">
      <alignment horizontal="center" vertical="center"/>
    </xf>
    <xf borderId="4" fillId="0" fontId="24" numFmtId="0" xfId="0" applyAlignment="1" applyBorder="1" applyFont="1">
      <alignment horizontal="center" vertical="center"/>
    </xf>
    <xf borderId="4" fillId="0" fontId="3" numFmtId="0" xfId="0" applyAlignment="1" applyBorder="1" applyFont="1">
      <alignment horizontal="left" shrinkToFit="0" vertical="center" wrapText="1"/>
    </xf>
    <xf borderId="0" fillId="0" fontId="11" numFmtId="4" xfId="0" applyAlignment="1" applyFont="1" applyNumberFormat="1">
      <alignment horizontal="center" vertical="bottom"/>
    </xf>
    <xf borderId="0" fillId="0" fontId="11" numFmtId="9" xfId="0" applyAlignment="1" applyFont="1" applyNumberFormat="1">
      <alignment horizontal="center" vertical="bottom"/>
    </xf>
    <xf borderId="8" fillId="3" fontId="25" numFmtId="0" xfId="0" applyAlignment="1" applyBorder="1" applyFont="1">
      <alignment horizontal="center" shrinkToFit="0" vertical="center" wrapText="1"/>
    </xf>
    <xf borderId="9" fillId="3" fontId="25" numFmtId="0" xfId="0" applyAlignment="1" applyBorder="1" applyFont="1">
      <alignment horizontal="center" shrinkToFit="0" vertical="center" wrapText="1"/>
    </xf>
    <xf borderId="0" fillId="0" fontId="25" numFmtId="0" xfId="0" applyAlignment="1" applyFont="1">
      <alignment horizontal="center" shrinkToFit="0" vertical="center" wrapText="1"/>
    </xf>
    <xf borderId="5" fillId="0" fontId="1" numFmtId="0" xfId="0" applyAlignment="1" applyBorder="1" applyFont="1">
      <alignment horizontal="center" vertical="center"/>
    </xf>
    <xf borderId="5" fillId="0" fontId="3" numFmtId="0" xfId="0" applyAlignment="1" applyBorder="1" applyFont="1">
      <alignment horizontal="center" shrinkToFit="0" vertical="center" wrapText="1"/>
    </xf>
    <xf borderId="5" fillId="0" fontId="1" numFmtId="0" xfId="0" applyAlignment="1" applyBorder="1" applyFont="1">
      <alignment horizontal="center" shrinkToFit="0" vertical="center" wrapText="1"/>
    </xf>
    <xf borderId="5" fillId="0" fontId="1" numFmtId="0" xfId="0" applyAlignment="1" applyBorder="1" applyFont="1">
      <alignment horizontal="left" shrinkToFit="0" vertical="center" wrapText="1"/>
    </xf>
    <xf borderId="5" fillId="0" fontId="26" numFmtId="4" xfId="0" applyAlignment="1" applyBorder="1" applyFont="1" applyNumberFormat="1">
      <alignment horizontal="center" vertical="center"/>
    </xf>
    <xf borderId="5" fillId="0" fontId="1" numFmtId="0" xfId="0" applyAlignment="1" applyBorder="1" applyFont="1">
      <alignment shrinkToFit="0" vertical="center" wrapText="1"/>
    </xf>
    <xf borderId="5" fillId="0" fontId="1" numFmtId="166" xfId="0" applyAlignment="1" applyBorder="1" applyFont="1" applyNumberFormat="1">
      <alignment horizontal="center" vertical="center"/>
    </xf>
    <xf borderId="4" fillId="0" fontId="27" numFmtId="174" xfId="0" applyAlignment="1" applyBorder="1" applyFont="1" applyNumberFormat="1">
      <alignment horizontal="center" vertical="center"/>
    </xf>
    <xf borderId="0" fillId="0" fontId="28" numFmtId="0" xfId="0" applyAlignment="1" applyFont="1">
      <alignment horizontal="center" vertical="center"/>
    </xf>
    <xf borderId="4" fillId="0" fontId="3" numFmtId="0" xfId="0" applyAlignment="1" applyBorder="1" applyFont="1">
      <alignment shrinkToFit="0" vertical="center" wrapText="1"/>
    </xf>
    <xf borderId="5" fillId="0" fontId="3" numFmtId="164" xfId="0" applyAlignment="1" applyBorder="1" applyFont="1" applyNumberFormat="1">
      <alignment horizontal="center" shrinkToFit="0" vertical="center" wrapText="1"/>
    </xf>
    <xf borderId="4" fillId="0" fontId="2" numFmtId="164" xfId="0" applyAlignment="1" applyBorder="1" applyFont="1" applyNumberFormat="1">
      <alignment horizontal="center" shrinkToFit="0" vertical="center" wrapText="1"/>
    </xf>
    <xf borderId="6" fillId="0" fontId="1" numFmtId="166" xfId="0" applyAlignment="1" applyBorder="1" applyFont="1" applyNumberFormat="1">
      <alignment horizontal="center" vertical="center"/>
    </xf>
    <xf borderId="7" fillId="3" fontId="4" numFmtId="0" xfId="0" applyAlignment="1" applyBorder="1" applyFont="1">
      <alignment vertical="center"/>
    </xf>
    <xf borderId="0" fillId="0" fontId="3" numFmtId="167" xfId="0" applyAlignment="1" applyFont="1" applyNumberFormat="1">
      <alignment horizontal="center" vertical="center"/>
    </xf>
    <xf borderId="11" fillId="0" fontId="1" numFmtId="0" xfId="0" applyAlignment="1" applyBorder="1" applyFont="1">
      <alignment vertical="center"/>
    </xf>
    <xf borderId="4" fillId="0" fontId="1" numFmtId="4" xfId="0" applyAlignment="1" applyBorder="1" applyFont="1" applyNumberFormat="1">
      <alignment horizontal="center" vertical="center"/>
    </xf>
    <xf borderId="12" fillId="3" fontId="7" numFmtId="172" xfId="0" applyAlignment="1" applyBorder="1" applyFont="1" applyNumberFormat="1">
      <alignment horizontal="center" shrinkToFit="0" vertical="center" wrapText="1"/>
    </xf>
    <xf borderId="5" fillId="0" fontId="3" numFmtId="0" xfId="0" applyAlignment="1" applyBorder="1" applyFont="1">
      <alignment shrinkToFit="0" vertical="center" wrapText="1"/>
    </xf>
    <xf borderId="13" fillId="0" fontId="29" numFmtId="4" xfId="0" applyAlignment="1" applyBorder="1" applyFont="1" applyNumberFormat="1">
      <alignment horizontal="center" vertical="center"/>
    </xf>
    <xf borderId="4" fillId="5" fontId="1" numFmtId="0" xfId="0" applyAlignment="1" applyBorder="1" applyFont="1">
      <alignment horizontal="center" vertical="center"/>
    </xf>
    <xf borderId="4" fillId="5" fontId="3" numFmtId="0" xfId="0" applyAlignment="1" applyBorder="1" applyFont="1">
      <alignment horizontal="center" shrinkToFit="0" vertical="center" wrapText="1"/>
    </xf>
    <xf borderId="4" fillId="5" fontId="1" numFmtId="0" xfId="0" applyAlignment="1" applyBorder="1" applyFont="1">
      <alignment horizontal="center" shrinkToFit="0" vertical="center" wrapText="1"/>
    </xf>
    <xf borderId="4" fillId="5" fontId="3" numFmtId="164" xfId="0" applyAlignment="1" applyBorder="1" applyFont="1" applyNumberFormat="1">
      <alignment horizontal="center" shrinkToFit="0" vertical="center" wrapText="1"/>
    </xf>
    <xf borderId="4" fillId="5" fontId="1" numFmtId="0" xfId="0" applyAlignment="1" applyBorder="1" applyFont="1">
      <alignment horizontal="left" shrinkToFit="0" vertical="center" wrapText="1"/>
    </xf>
    <xf borderId="4" fillId="5" fontId="30" numFmtId="4" xfId="0" applyAlignment="1" applyBorder="1" applyFont="1" applyNumberFormat="1">
      <alignment horizontal="center" vertical="center"/>
    </xf>
    <xf borderId="4" fillId="5" fontId="1" numFmtId="166" xfId="0" applyAlignment="1" applyBorder="1" applyFont="1" applyNumberFormat="1">
      <alignment horizontal="center" vertical="center"/>
    </xf>
    <xf borderId="12" fillId="3" fontId="4" numFmtId="0" xfId="0" applyAlignment="1" applyBorder="1" applyFont="1">
      <alignment vertical="center"/>
    </xf>
    <xf borderId="14" fillId="3" fontId="7" numFmtId="0" xfId="0" applyAlignment="1" applyBorder="1" applyFont="1">
      <alignment horizontal="center" shrinkToFit="0" vertical="center" wrapText="1"/>
    </xf>
    <xf borderId="0" fillId="0" fontId="7" numFmtId="0" xfId="0" applyAlignment="1" applyFont="1">
      <alignment horizontal="center" shrinkToFit="0" vertical="center" wrapText="1"/>
    </xf>
    <xf borderId="0" fillId="0" fontId="17" numFmtId="0" xfId="0" applyAlignment="1" applyFont="1">
      <alignment horizontal="center" vertical="center"/>
    </xf>
    <xf borderId="11" fillId="0" fontId="3" numFmtId="164" xfId="0" applyAlignment="1" applyBorder="1" applyFont="1" applyNumberFormat="1">
      <alignment horizontal="center" shrinkToFit="0" vertical="center" wrapText="1"/>
    </xf>
    <xf borderId="15" fillId="0" fontId="3" numFmtId="0" xfId="0" applyAlignment="1" applyBorder="1" applyFont="1">
      <alignment horizontal="center" shrinkToFit="0" vertical="center" wrapText="1"/>
    </xf>
    <xf borderId="16" fillId="0" fontId="3" numFmtId="0" xfId="0" applyAlignment="1" applyBorder="1" applyFont="1">
      <alignment horizontal="center" shrinkToFit="0" vertical="center" wrapText="1"/>
    </xf>
    <xf borderId="6" fillId="0" fontId="1" numFmtId="0" xfId="0" applyAlignment="1" applyBorder="1" applyFont="1">
      <alignment horizontal="left" shrinkToFit="0" vertical="center" wrapText="1"/>
    </xf>
    <xf borderId="4" fillId="4" fontId="1" numFmtId="0" xfId="0" applyAlignment="1" applyBorder="1" applyFont="1">
      <alignment horizontal="center" vertical="center"/>
    </xf>
    <xf borderId="4" fillId="4" fontId="1" numFmtId="0" xfId="0" applyAlignment="1" applyBorder="1" applyFont="1">
      <alignment horizontal="center" shrinkToFit="0" vertical="center" wrapText="1"/>
    </xf>
    <xf borderId="4" fillId="4" fontId="3" numFmtId="164" xfId="0" applyAlignment="1" applyBorder="1" applyFont="1" applyNumberFormat="1">
      <alignment horizontal="center" shrinkToFit="0" vertical="center" wrapText="1"/>
    </xf>
    <xf borderId="4" fillId="4" fontId="1" numFmtId="0" xfId="0" applyAlignment="1" applyBorder="1" applyFont="1">
      <alignment shrinkToFit="0" vertical="center" wrapText="1"/>
    </xf>
    <xf borderId="4" fillId="4" fontId="3" numFmtId="0" xfId="0" applyAlignment="1" applyBorder="1" applyFont="1">
      <alignment horizontal="center" shrinkToFit="0" vertical="center" wrapText="1"/>
    </xf>
    <xf borderId="4" fillId="5" fontId="1" numFmtId="0" xfId="0" applyAlignment="1" applyBorder="1" applyFont="1">
      <alignment shrinkToFit="0" vertical="center" wrapText="1"/>
    </xf>
    <xf borderId="5" fillId="0" fontId="2" numFmtId="164" xfId="0" applyAlignment="1" applyBorder="1" applyFont="1" applyNumberFormat="1">
      <alignment horizontal="center" shrinkToFit="0" vertical="center" wrapText="1"/>
    </xf>
    <xf borderId="6" fillId="0" fontId="2" numFmtId="164" xfId="0" applyAlignment="1" applyBorder="1" applyFont="1" applyNumberFormat="1">
      <alignment horizontal="center" shrinkToFit="0" vertical="center" wrapText="1"/>
    </xf>
    <xf borderId="17" fillId="0" fontId="1" numFmtId="0" xfId="0" applyAlignment="1" applyBorder="1" applyFont="1">
      <alignment shrinkToFit="0" vertical="center" wrapText="1"/>
    </xf>
    <xf borderId="17" fillId="0" fontId="1" numFmtId="0" xfId="0" applyAlignment="1" applyBorder="1" applyFont="1">
      <alignment horizontal="center" shrinkToFit="0" vertical="center" wrapText="1"/>
    </xf>
    <xf borderId="16" fillId="0" fontId="1" numFmtId="0" xfId="0" applyAlignment="1" applyBorder="1" applyFont="1">
      <alignment horizontal="center" vertical="center"/>
    </xf>
    <xf borderId="16" fillId="0" fontId="1" numFmtId="0" xfId="0" applyAlignment="1" applyBorder="1" applyFont="1">
      <alignment horizontal="center" shrinkToFit="0" vertical="center" wrapText="1"/>
    </xf>
    <xf borderId="16" fillId="0" fontId="1" numFmtId="0" xfId="0" applyAlignment="1" applyBorder="1" applyFont="1">
      <alignment shrinkToFit="0" vertical="center" wrapText="1"/>
    </xf>
    <xf borderId="16" fillId="0" fontId="1" numFmtId="166" xfId="0" applyAlignment="1" applyBorder="1" applyFont="1" applyNumberFormat="1">
      <alignment horizontal="center" vertical="center"/>
    </xf>
    <xf borderId="0" fillId="0" fontId="1" numFmtId="4" xfId="0" applyAlignment="1" applyFont="1" applyNumberFormat="1">
      <alignment horizontal="center" vertical="center"/>
    </xf>
    <xf borderId="0" fillId="0" fontId="1" numFmtId="0" xfId="0" applyAlignment="1" applyFont="1">
      <alignment horizontal="center" shrinkToFit="0" vertical="bottom" wrapText="1"/>
    </xf>
    <xf borderId="0" fillId="0" fontId="1" numFmtId="164" xfId="0" applyAlignment="1" applyFont="1" applyNumberFormat="1">
      <alignment horizontal="center" vertical="bottom"/>
    </xf>
    <xf borderId="1" fillId="2" fontId="3" numFmtId="165" xfId="0" applyAlignment="1" applyBorder="1" applyFont="1" applyNumberFormat="1">
      <alignment horizontal="center" vertical="center"/>
    </xf>
    <xf borderId="0" fillId="0" fontId="31" numFmtId="0" xfId="0" applyAlignment="1" applyFont="1">
      <alignment vertical="bottom"/>
    </xf>
    <xf borderId="18" fillId="2" fontId="1" numFmtId="0" xfId="0" applyAlignment="1" applyBorder="1" applyFont="1">
      <alignment horizontal="center" vertical="center"/>
    </xf>
    <xf borderId="18" fillId="2" fontId="1" numFmtId="0" xfId="0" applyAlignment="1" applyBorder="1" applyFont="1">
      <alignment horizontal="left" vertical="center"/>
    </xf>
    <xf borderId="18" fillId="2" fontId="1" numFmtId="0" xfId="0" applyAlignment="1" applyBorder="1" applyFont="1">
      <alignment horizontal="left" shrinkToFit="0" vertical="center" wrapText="1"/>
    </xf>
    <xf borderId="18" fillId="2" fontId="3" numFmtId="0" xfId="0" applyAlignment="1" applyBorder="1" applyFont="1">
      <alignment horizontal="center" vertical="center"/>
    </xf>
    <xf borderId="1" fillId="2" fontId="4" numFmtId="0" xfId="0" applyAlignment="1" applyBorder="1" applyFont="1">
      <alignment horizontal="center" vertical="center"/>
    </xf>
    <xf borderId="1" fillId="2" fontId="1" numFmtId="0" xfId="0" applyAlignment="1" applyBorder="1" applyFont="1">
      <alignment horizontal="left" vertical="center"/>
    </xf>
    <xf borderId="1" fillId="2" fontId="1" numFmtId="0" xfId="0" applyAlignment="1" applyBorder="1" applyFont="1">
      <alignment horizontal="left" shrinkToFit="0" vertical="center" wrapText="1"/>
    </xf>
    <xf borderId="1" fillId="2" fontId="3" numFmtId="0" xfId="0" applyAlignment="1" applyBorder="1" applyFont="1">
      <alignment horizontal="center" vertical="center"/>
    </xf>
    <xf borderId="17" fillId="6" fontId="32" numFmtId="0" xfId="0" applyAlignment="1" applyBorder="1" applyFont="1">
      <alignment horizontal="center" vertical="center"/>
    </xf>
    <xf borderId="15" fillId="0" fontId="5" numFmtId="0" xfId="0" applyAlignment="1" applyBorder="1" applyFont="1">
      <alignment vertical="center"/>
    </xf>
    <xf borderId="19" fillId="0" fontId="5" numFmtId="0" xfId="0" applyAlignment="1" applyBorder="1" applyFont="1">
      <alignment vertical="center"/>
    </xf>
    <xf borderId="17" fillId="4" fontId="32" numFmtId="0" xfId="0" applyAlignment="1" applyBorder="1" applyFont="1">
      <alignment horizontal="center" vertical="center"/>
    </xf>
    <xf borderId="20" fillId="0" fontId="5" numFmtId="0" xfId="0" applyAlignment="1" applyBorder="1" applyFont="1">
      <alignment vertical="center"/>
    </xf>
    <xf borderId="21" fillId="6" fontId="32" numFmtId="0" xfId="0" applyAlignment="1" applyBorder="1" applyFont="1">
      <alignment horizontal="center" shrinkToFit="0" vertical="center" wrapText="1"/>
    </xf>
    <xf borderId="4" fillId="6" fontId="32" numFmtId="0" xfId="0" applyAlignment="1" applyBorder="1" applyFont="1">
      <alignment horizontal="center" shrinkToFit="0" vertical="center" wrapText="1"/>
    </xf>
    <xf borderId="21" fillId="4" fontId="32"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11" fillId="0" fontId="1" numFmtId="0" xfId="0" applyAlignment="1" applyBorder="1" applyFont="1">
      <alignment horizontal="center" shrinkToFit="0" vertical="center" wrapText="1"/>
    </xf>
    <xf borderId="17" fillId="0" fontId="3" numFmtId="17" xfId="0" applyAlignment="1" applyBorder="1" applyFont="1" applyNumberFormat="1">
      <alignment horizontal="center" shrinkToFit="0" vertical="center" wrapText="1"/>
    </xf>
    <xf borderId="4" fillId="0" fontId="3" numFmtId="170" xfId="0" applyAlignment="1" applyBorder="1" applyFont="1" applyNumberFormat="1">
      <alignment horizontal="center" shrinkToFit="0" vertical="center" wrapText="1"/>
    </xf>
    <xf borderId="4" fillId="0" fontId="7" numFmtId="0" xfId="0" applyAlignment="1" applyBorder="1" applyFont="1">
      <alignment horizontal="center" vertical="center"/>
    </xf>
    <xf borderId="4" fillId="0" fontId="7" numFmtId="0" xfId="0" applyAlignment="1" applyBorder="1" applyFont="1">
      <alignment horizontal="center" shrinkToFit="0" vertical="center" wrapText="1"/>
    </xf>
    <xf borderId="5" fillId="0" fontId="7" numFmtId="0" xfId="0" applyAlignment="1" applyBorder="1" applyFont="1">
      <alignment horizontal="center" vertical="center"/>
    </xf>
    <xf borderId="4" fillId="0" fontId="1" numFmtId="0" xfId="0" applyAlignment="1" applyBorder="1" applyFont="1">
      <alignment horizontal="left" vertical="center"/>
    </xf>
    <xf borderId="5" fillId="0" fontId="1" numFmtId="0" xfId="0" applyAlignment="1" applyBorder="1" applyFont="1">
      <alignment horizontal="left" vertical="center"/>
    </xf>
    <xf borderId="5" fillId="0" fontId="3" numFmtId="0" xfId="0" applyAlignment="1" applyBorder="1" applyFont="1">
      <alignment horizontal="left" shrinkToFit="0" vertical="center" wrapText="1"/>
    </xf>
    <xf borderId="4" fillId="0" fontId="7" numFmtId="0" xfId="0" applyAlignment="1" applyBorder="1" applyFont="1">
      <alignment shrinkToFit="0" vertical="center" wrapText="1"/>
    </xf>
    <xf borderId="4" fillId="0" fontId="33" numFmtId="0" xfId="0" applyAlignment="1" applyBorder="1" applyFont="1">
      <alignment horizontal="center" shrinkToFit="0" vertical="center" wrapText="1"/>
    </xf>
    <xf borderId="4" fillId="0" fontId="31" numFmtId="0" xfId="0" applyAlignment="1" applyBorder="1" applyFont="1">
      <alignment vertical="bottom"/>
    </xf>
    <xf borderId="11" fillId="0" fontId="7" numFmtId="0" xfId="0" applyAlignment="1" applyBorder="1" applyFont="1">
      <alignment horizontal="center" shrinkToFit="0" vertical="center" wrapText="1"/>
    </xf>
    <xf borderId="6" fillId="0" fontId="3" numFmtId="0" xfId="0" applyAlignment="1" applyBorder="1" applyFont="1">
      <alignment shrinkToFit="0" vertical="center" wrapText="1"/>
    </xf>
    <xf borderId="11" fillId="0" fontId="7" numFmtId="0" xfId="0" applyAlignment="1" applyBorder="1" applyFont="1">
      <alignment horizontal="center" vertical="center"/>
    </xf>
    <xf borderId="22" fillId="0" fontId="3" numFmtId="0" xfId="0" applyAlignment="1" applyBorder="1" applyFont="1">
      <alignment horizontal="center" shrinkToFit="0" vertical="center" wrapText="1"/>
    </xf>
    <xf borderId="23" fillId="0" fontId="1" numFmtId="0" xfId="0" applyAlignment="1" applyBorder="1" applyFont="1">
      <alignment horizontal="center" shrinkToFit="0" vertical="center" wrapText="1"/>
    </xf>
    <xf borderId="4" fillId="0" fontId="7" numFmtId="0" xfId="0" applyAlignment="1" applyBorder="1" applyFont="1">
      <alignment vertical="center"/>
    </xf>
    <xf borderId="17" fillId="0" fontId="2" numFmtId="17" xfId="0" applyAlignment="1" applyBorder="1" applyFont="1" applyNumberFormat="1">
      <alignment horizontal="center" shrinkToFit="0" vertical="center" wrapText="1"/>
    </xf>
    <xf borderId="0" fillId="0" fontId="31" numFmtId="0" xfId="0" applyAlignment="1" applyFont="1">
      <alignment shrinkToFit="0" vertical="bottom" wrapText="1"/>
    </xf>
    <xf borderId="5" fillId="0" fontId="33" numFmtId="0" xfId="0" applyAlignment="1" applyBorder="1" applyFont="1">
      <alignment horizontal="center" shrinkToFit="0" vertical="center" wrapText="1"/>
    </xf>
    <xf borderId="4" fillId="5" fontId="7" numFmtId="0" xfId="0" applyAlignment="1" applyBorder="1" applyFont="1">
      <alignment horizontal="center" shrinkToFit="0" vertical="center" wrapText="1"/>
    </xf>
    <xf borderId="7" fillId="5" fontId="3" numFmtId="17" xfId="0" applyAlignment="1" applyBorder="1" applyFont="1" applyNumberFormat="1">
      <alignment horizontal="center" shrinkToFit="0" vertical="center" wrapText="1"/>
    </xf>
    <xf borderId="4" fillId="5" fontId="3" numFmtId="170"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2</xdr:row>
      <xdr:rowOff>85725</xdr:rowOff>
    </xdr:from>
    <xdr:ext cx="2733675" cy="809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47625</xdr:colOff>
      <xdr:row>0</xdr:row>
      <xdr:rowOff>228600</xdr:rowOff>
    </xdr:from>
    <xdr:ext cx="4695825" cy="14668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1228725</xdr:colOff>
      <xdr:row>0</xdr:row>
      <xdr:rowOff>0</xdr:rowOff>
    </xdr:from>
    <xdr:ext cx="304800" cy="314325"/>
    <xdr:sp>
      <xdr:nvSpPr>
        <xdr:cNvPr descr="TAMRON BIZ | Model : M118VP1250IR" id="3" name="Shape 3"/>
        <xdr:cNvSpPr/>
      </xdr:nvSpPr>
      <xdr:spPr>
        <a:xfrm>
          <a:off x="5193600" y="3622838"/>
          <a:ext cx="304800"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nsu.kim/Desktop/1%20PM/01%20Pricelist/2023/12&#50900;/Hanwha%20Vision%20Europe%20Price%20List%20MASTER%20-%20December%202023._Draft.xlsb"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ricelist map"/>
      <sheetName val="New"/>
      <sheetName val="HVE Pricelist"/>
      <sheetName val="EOS Products"/>
      <sheetName val="Change Log"/>
      <sheetName val="Old Data Tab"/>
      <sheetName val="Data Tab"/>
      <sheetName val="Al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hanwhavision.eu/product/SPF-BCB0" TargetMode="External"/><Relationship Id="rId11" Type="http://schemas.openxmlformats.org/officeDocument/2006/relationships/hyperlink" Target="https://hanwhavision.eu/product/SPI-BWN0" TargetMode="External"/><Relationship Id="rId22" Type="http://schemas.openxmlformats.org/officeDocument/2006/relationships/hyperlink" Target="https://hanwhavision.eu/product/SPF-BPB0" TargetMode="External"/><Relationship Id="rId10" Type="http://schemas.openxmlformats.org/officeDocument/2006/relationships/hyperlink" Target="https://hanwhavision.eu/product/SPI-BWM0" TargetMode="External"/><Relationship Id="rId21" Type="http://schemas.openxmlformats.org/officeDocument/2006/relationships/hyperlink" Target="https://hanwhavision.eu/product/SPF-BDB0" TargetMode="External"/><Relationship Id="rId13" Type="http://schemas.openxmlformats.org/officeDocument/2006/relationships/hyperlink" Target="https://hanwhavision.eu/product/SPI-BRM1" TargetMode="External"/><Relationship Id="rId12" Type="http://schemas.openxmlformats.org/officeDocument/2006/relationships/hyperlink" Target="https://hanwhavision.eu/product/SPI-BRW0" TargetMode="External"/><Relationship Id="rId23" Type="http://schemas.openxmlformats.org/officeDocument/2006/relationships/drawing" Target="../drawings/drawing1.xml"/><Relationship Id="rId1" Type="http://schemas.openxmlformats.org/officeDocument/2006/relationships/hyperlink" Target="https://hanwhavision.eu/product/TNS-7000M" TargetMode="External"/><Relationship Id="rId2" Type="http://schemas.openxmlformats.org/officeDocument/2006/relationships/hyperlink" Target="https://hanwhavision.eu/product/SLM-5M06" TargetMode="External"/><Relationship Id="rId3" Type="http://schemas.openxmlformats.org/officeDocument/2006/relationships/hyperlink" Target="https://hanwhavision.eu/product/SLM-5M08" TargetMode="External"/><Relationship Id="rId4" Type="http://schemas.openxmlformats.org/officeDocument/2006/relationships/hyperlink" Target="https://hanwhavision.eu/product/SLM-5M12" TargetMode="External"/><Relationship Id="rId9" Type="http://schemas.openxmlformats.org/officeDocument/2006/relationships/hyperlink" Target="https://hanwhavision.eu/product/SPI-BWM1" TargetMode="External"/><Relationship Id="rId15" Type="http://schemas.openxmlformats.org/officeDocument/2006/relationships/hyperlink" Target="https://hanwhavision.eu/product/SPI-BRN0" TargetMode="External"/><Relationship Id="rId14" Type="http://schemas.openxmlformats.org/officeDocument/2006/relationships/hyperlink" Target="https://hanwhavision.eu/product/SPI-BRM0" TargetMode="External"/><Relationship Id="rId17" Type="http://schemas.openxmlformats.org/officeDocument/2006/relationships/hyperlink" Target="https://hanwhavision.eu/product/SPI-BBM1" TargetMode="External"/><Relationship Id="rId16" Type="http://schemas.openxmlformats.org/officeDocument/2006/relationships/hyperlink" Target="https://hanwhavision.eu/product/SPI-BBW0" TargetMode="External"/><Relationship Id="rId5" Type="http://schemas.openxmlformats.org/officeDocument/2006/relationships/hyperlink" Target="https://hanwhavision.eu/product/SLM-5M16" TargetMode="External"/><Relationship Id="rId19" Type="http://schemas.openxmlformats.org/officeDocument/2006/relationships/hyperlink" Target="https://hanwhavision.eu/product/SPI-BBN0" TargetMode="External"/><Relationship Id="rId6" Type="http://schemas.openxmlformats.org/officeDocument/2006/relationships/hyperlink" Target="https://hanwhavision.eu/product/SLM-5M25" TargetMode="External"/><Relationship Id="rId18" Type="http://schemas.openxmlformats.org/officeDocument/2006/relationships/hyperlink" Target="https://hanwhavision.eu/product/SPI-BBM0" TargetMode="External"/><Relationship Id="rId7" Type="http://schemas.openxmlformats.org/officeDocument/2006/relationships/hyperlink" Target="https://hanwhavision.eu/product/SBO-BPM0" TargetMode="External"/><Relationship Id="rId8" Type="http://schemas.openxmlformats.org/officeDocument/2006/relationships/hyperlink" Target="https://hanwhavision.eu/product/SPI-BWW0" TargetMode="External"/></Relationships>
</file>

<file path=xl/worksheets/_rels/sheet2.xml.rels><?xml version="1.0" encoding="UTF-8" standalone="yes"?><Relationships xmlns="http://schemas.openxmlformats.org/package/2006/relationships"><Relationship Id="rId190" Type="http://schemas.openxmlformats.org/officeDocument/2006/relationships/hyperlink" Target="https://hanwhavision.eu/product/pnv-a6081r/" TargetMode="External"/><Relationship Id="rId194" Type="http://schemas.openxmlformats.org/officeDocument/2006/relationships/hyperlink" Target="https://hanwhavision.eu/product/QNV-C6083R" TargetMode="External"/><Relationship Id="rId193" Type="http://schemas.openxmlformats.org/officeDocument/2006/relationships/hyperlink" Target="https://hanwhavision.eu/product/QNO-C6083R/" TargetMode="External"/><Relationship Id="rId192" Type="http://schemas.openxmlformats.org/officeDocument/2006/relationships/hyperlink" Target="https://hanwhavision.eu/product/pnd-a6081rf/" TargetMode="External"/><Relationship Id="rId191" Type="http://schemas.openxmlformats.org/officeDocument/2006/relationships/hyperlink" Target="https://hanwhavision.eu/product/pnd-a6081rv/" TargetMode="External"/><Relationship Id="rId187" Type="http://schemas.openxmlformats.org/officeDocument/2006/relationships/hyperlink" Target="https://hanwhavision.eu/product/xnp-c6403r/" TargetMode="External"/><Relationship Id="rId186" Type="http://schemas.openxmlformats.org/officeDocument/2006/relationships/hyperlink" Target="https://hanwhavision.eu/product/xnp-c6403rw/" TargetMode="External"/><Relationship Id="rId185" Type="http://schemas.openxmlformats.org/officeDocument/2006/relationships/hyperlink" Target="https://hanwhavision.eu/product/TNP-A6550RW" TargetMode="External"/><Relationship Id="rId184" Type="http://schemas.openxmlformats.org/officeDocument/2006/relationships/hyperlink" Target="https://hanwhavision.eu/product/xnd-c6083rv/" TargetMode="External"/><Relationship Id="rId189" Type="http://schemas.openxmlformats.org/officeDocument/2006/relationships/hyperlink" Target="https://hanwhavision.eu/product/pno-a6081r/" TargetMode="External"/><Relationship Id="rId188" Type="http://schemas.openxmlformats.org/officeDocument/2006/relationships/hyperlink" Target="https://hanwhavision.eu/product/xnp-c6403/" TargetMode="External"/><Relationship Id="rId183" Type="http://schemas.openxmlformats.org/officeDocument/2006/relationships/hyperlink" Target="https://hanwhavision.eu/product/xnv-c6083r/" TargetMode="External"/><Relationship Id="rId182" Type="http://schemas.openxmlformats.org/officeDocument/2006/relationships/hyperlink" Target="https://hanwhavision.eu/product/xnv-c6083/" TargetMode="External"/><Relationship Id="rId181" Type="http://schemas.openxmlformats.org/officeDocument/2006/relationships/hyperlink" Target="https://hanwhavision.eu/product/xno-c6083r/" TargetMode="External"/><Relationship Id="rId180" Type="http://schemas.openxmlformats.org/officeDocument/2006/relationships/hyperlink" Target="https://hanwhavision.eu/product/XNB-6003" TargetMode="External"/><Relationship Id="rId176" Type="http://schemas.openxmlformats.org/officeDocument/2006/relationships/hyperlink" Target="https://hanwhavision.eu/product/xnv-6083rz/" TargetMode="External"/><Relationship Id="rId175" Type="http://schemas.openxmlformats.org/officeDocument/2006/relationships/hyperlink" Target="https://hanwhavision.eu/product/xnv-6123r/" TargetMode="External"/><Relationship Id="rId174" Type="http://schemas.openxmlformats.org/officeDocument/2006/relationships/hyperlink" Target="https://hanwhavision.eu/product/xno-6083r/" TargetMode="External"/><Relationship Id="rId173" Type="http://schemas.openxmlformats.org/officeDocument/2006/relationships/hyperlink" Target="https://hanwhavision.eu/product/xno-6123r/" TargetMode="External"/><Relationship Id="rId179" Type="http://schemas.openxmlformats.org/officeDocument/2006/relationships/hyperlink" Target="https://hanwhavision.eu/product/xnd-6083rv/" TargetMode="External"/><Relationship Id="rId178" Type="http://schemas.openxmlformats.org/officeDocument/2006/relationships/hyperlink" Target="https://hanwhavision.eu/product/xnv-6083z/" TargetMode="External"/><Relationship Id="rId177" Type="http://schemas.openxmlformats.org/officeDocument/2006/relationships/hyperlink" Target="https://hanwhavision.eu/product/xnv-6083r/" TargetMode="External"/><Relationship Id="rId198" Type="http://schemas.openxmlformats.org/officeDocument/2006/relationships/hyperlink" Target="https://hanwhavision.eu/product/xnv-6081r/" TargetMode="External"/><Relationship Id="rId197" Type="http://schemas.openxmlformats.org/officeDocument/2006/relationships/hyperlink" Target="https://hanwhavision.eu/product/xnd-6081rf/" TargetMode="External"/><Relationship Id="rId196" Type="http://schemas.openxmlformats.org/officeDocument/2006/relationships/hyperlink" Target="https://hanwhavision.eu/product/pnv-a6081r-e2t/" TargetMode="External"/><Relationship Id="rId195" Type="http://schemas.openxmlformats.org/officeDocument/2006/relationships/hyperlink" Target="https://hanwhavision.eu/product/pnv-a6081r-e1t/" TargetMode="External"/><Relationship Id="rId199" Type="http://schemas.openxmlformats.org/officeDocument/2006/relationships/hyperlink" Target="https://hanwhavision.eu/product/xnv-6081re/" TargetMode="External"/><Relationship Id="rId150" Type="http://schemas.openxmlformats.org/officeDocument/2006/relationships/hyperlink" Target="https://hanwhavision.eu/product/pnm-7082rvd/" TargetMode="External"/><Relationship Id="rId392" Type="http://schemas.openxmlformats.org/officeDocument/2006/relationships/hyperlink" Target="https://hanwhavision.eu/product/hco-6070r/" TargetMode="External"/><Relationship Id="rId391" Type="http://schemas.openxmlformats.org/officeDocument/2006/relationships/hyperlink" Target="https://hanwhavision.eu/product/hco-6080/" TargetMode="External"/><Relationship Id="rId390" Type="http://schemas.openxmlformats.org/officeDocument/2006/relationships/hyperlink" Target="https://hanwhavision.eu/product/hco-6080r/" TargetMode="External"/><Relationship Id="rId1" Type="http://schemas.openxmlformats.org/officeDocument/2006/relationships/hyperlink" Target="https://hanwhavision.eu/product/pnm-c34404rqpz/" TargetMode="External"/><Relationship Id="rId2" Type="http://schemas.openxmlformats.org/officeDocument/2006/relationships/hyperlink" Target="https://hanwhavision.eu/product/pnm-c32083rvq/" TargetMode="External"/><Relationship Id="rId3" Type="http://schemas.openxmlformats.org/officeDocument/2006/relationships/hyperlink" Target="https://hanwhavision.eu/product/tnb-9000/" TargetMode="External"/><Relationship Id="rId149" Type="http://schemas.openxmlformats.org/officeDocument/2006/relationships/hyperlink" Target="https://hanwhavision.eu/product/pnm-c7083rvd/" TargetMode="External"/><Relationship Id="rId4" Type="http://schemas.openxmlformats.org/officeDocument/2006/relationships/hyperlink" Target="https://hanwhavision.eu/product/TNO-A26081" TargetMode="External"/><Relationship Id="rId148" Type="http://schemas.openxmlformats.org/officeDocument/2006/relationships/hyperlink" Target="https://hanwhavision.eu/product/PND-A7082RV" TargetMode="External"/><Relationship Id="rId9" Type="http://schemas.openxmlformats.org/officeDocument/2006/relationships/hyperlink" Target="https://hanwhavision.eu/product/PNM-C16013RVQ/" TargetMode="External"/><Relationship Id="rId143" Type="http://schemas.openxmlformats.org/officeDocument/2006/relationships/hyperlink" Target="https://hanwhavision.eu/product/xnd-c7083rv/" TargetMode="External"/><Relationship Id="rId385" Type="http://schemas.openxmlformats.org/officeDocument/2006/relationships/hyperlink" Target="https://hanwhavision.eu/product/hcd-7010ra/" TargetMode="External"/><Relationship Id="rId142" Type="http://schemas.openxmlformats.org/officeDocument/2006/relationships/hyperlink" Target="https://hanwhavision.eu/product/XNV-C7083R/" TargetMode="External"/><Relationship Id="rId384" Type="http://schemas.openxmlformats.org/officeDocument/2006/relationships/hyperlink" Target="https://hanwhavision.eu/product/hcd-7070ra/" TargetMode="External"/><Relationship Id="rId141" Type="http://schemas.openxmlformats.org/officeDocument/2006/relationships/hyperlink" Target="https://hanwhavision.eu/product/xno-c7083r/" TargetMode="External"/><Relationship Id="rId383" Type="http://schemas.openxmlformats.org/officeDocument/2006/relationships/hyperlink" Target="https://hanwhavision.eu/product/hcv-7030ra/" TargetMode="External"/><Relationship Id="rId140" Type="http://schemas.openxmlformats.org/officeDocument/2006/relationships/hyperlink" Target="https://hanwhavision.eu/product/xnd-8081rev/" TargetMode="External"/><Relationship Id="rId382" Type="http://schemas.openxmlformats.org/officeDocument/2006/relationships/hyperlink" Target="https://hanwhavision.eu/product/hcv-7020ra/" TargetMode="External"/><Relationship Id="rId5" Type="http://schemas.openxmlformats.org/officeDocument/2006/relationships/hyperlink" Target="https://hanwhavision.eu/product/PNM-C32083RQZ" TargetMode="External"/><Relationship Id="rId147" Type="http://schemas.openxmlformats.org/officeDocument/2006/relationships/hyperlink" Target="https://hanwhavision.eu/product/PNV-A7082RZ" TargetMode="External"/><Relationship Id="rId389" Type="http://schemas.openxmlformats.org/officeDocument/2006/relationships/hyperlink" Target="https://hanwhavision.eu/product/hcb-7000pha/" TargetMode="External"/><Relationship Id="rId6" Type="http://schemas.openxmlformats.org/officeDocument/2006/relationships/hyperlink" Target="https://hanwhavision.eu/product/PNM-C20000QB" TargetMode="External"/><Relationship Id="rId146" Type="http://schemas.openxmlformats.org/officeDocument/2006/relationships/hyperlink" Target="https://hanwhavision.eu/product/PNO-A7082R" TargetMode="External"/><Relationship Id="rId388" Type="http://schemas.openxmlformats.org/officeDocument/2006/relationships/hyperlink" Target="https://hanwhavision.eu/product/hcb-7000a/" TargetMode="External"/><Relationship Id="rId7" Type="http://schemas.openxmlformats.org/officeDocument/2006/relationships/hyperlink" Target="https://hanwhavision.eu/product/PNM-C19183RVTP" TargetMode="External"/><Relationship Id="rId145" Type="http://schemas.openxmlformats.org/officeDocument/2006/relationships/hyperlink" Target="https://hanwhavision.eu/product/TNP-A7430RW" TargetMode="External"/><Relationship Id="rId387" Type="http://schemas.openxmlformats.org/officeDocument/2006/relationships/hyperlink" Target="https://hanwhavision.eu/product/hcd-7030ra/" TargetMode="External"/><Relationship Id="rId8" Type="http://schemas.openxmlformats.org/officeDocument/2006/relationships/hyperlink" Target="https://hanwhavision.eu/product/pnm-c16083rvq/" TargetMode="External"/><Relationship Id="rId144" Type="http://schemas.openxmlformats.org/officeDocument/2006/relationships/hyperlink" Target="https://hanwhavision.eu/product/XNP-C7310R" TargetMode="External"/><Relationship Id="rId386" Type="http://schemas.openxmlformats.org/officeDocument/2006/relationships/hyperlink" Target="https://hanwhavision.eu/product/hcd-7020ra/" TargetMode="External"/><Relationship Id="rId381" Type="http://schemas.openxmlformats.org/officeDocument/2006/relationships/hyperlink" Target="https://hanwhavision.eu/product/hcv-7010ra/" TargetMode="External"/><Relationship Id="rId380" Type="http://schemas.openxmlformats.org/officeDocument/2006/relationships/hyperlink" Target="https://hanwhavision.eu/product/hcv-7070ra/" TargetMode="External"/><Relationship Id="rId139" Type="http://schemas.openxmlformats.org/officeDocument/2006/relationships/hyperlink" Target="https://hanwhavision.eu/product/xnv-8081re/" TargetMode="External"/><Relationship Id="rId138" Type="http://schemas.openxmlformats.org/officeDocument/2006/relationships/hyperlink" Target="https://hanwhavision.eu/product/tnv-8011c/" TargetMode="External"/><Relationship Id="rId137" Type="http://schemas.openxmlformats.org/officeDocument/2006/relationships/hyperlink" Target="https://www.hanwha-security.eu/business-security-products/qne-8011r/" TargetMode="External"/><Relationship Id="rId379" Type="http://schemas.openxmlformats.org/officeDocument/2006/relationships/hyperlink" Target="https://hanwhavision.eu/product/hco-7030ra/" TargetMode="External"/><Relationship Id="rId132" Type="http://schemas.openxmlformats.org/officeDocument/2006/relationships/hyperlink" Target="https://hanwhavision.eu/product/qnd-8021/" TargetMode="External"/><Relationship Id="rId374" Type="http://schemas.openxmlformats.org/officeDocument/2006/relationships/hyperlink" Target="https://hanwhavision.eu/product/SPA-S1000/" TargetMode="External"/><Relationship Id="rId131" Type="http://schemas.openxmlformats.org/officeDocument/2006/relationships/hyperlink" Target="https://hanwhavision.eu/product/QND-8010R/" TargetMode="External"/><Relationship Id="rId373" Type="http://schemas.openxmlformats.org/officeDocument/2006/relationships/hyperlink" Target="https://hanwhavision.eu/product/SPA-B1000/" TargetMode="External"/><Relationship Id="rId130" Type="http://schemas.openxmlformats.org/officeDocument/2006/relationships/hyperlink" Target="https://hanwhavision.eu/product/QND-8020R/" TargetMode="External"/><Relationship Id="rId372" Type="http://schemas.openxmlformats.org/officeDocument/2006/relationships/hyperlink" Target="https://hanwhavision.eu/product/SPA-M2000/" TargetMode="External"/><Relationship Id="rId371" Type="http://schemas.openxmlformats.org/officeDocument/2006/relationships/hyperlink" Target="https://hanwhavision.eu/product/SPA-D1000/" TargetMode="External"/><Relationship Id="rId136" Type="http://schemas.openxmlformats.org/officeDocument/2006/relationships/hyperlink" Target="https://hanwhavision.eu/product/qnv-8010r/" TargetMode="External"/><Relationship Id="rId378" Type="http://schemas.openxmlformats.org/officeDocument/2006/relationships/hyperlink" Target="https://hanwhavision.eu/product/hco-7020ra/" TargetMode="External"/><Relationship Id="rId135" Type="http://schemas.openxmlformats.org/officeDocument/2006/relationships/hyperlink" Target="https://hanwhavision.eu/product/qnv-8020r/" TargetMode="External"/><Relationship Id="rId377" Type="http://schemas.openxmlformats.org/officeDocument/2006/relationships/hyperlink" Target="https://hanwhavision.eu/product/hco-7010ra/" TargetMode="External"/><Relationship Id="rId134" Type="http://schemas.openxmlformats.org/officeDocument/2006/relationships/hyperlink" Target="https://hanwhavision.eu/product/qnv-8080r/" TargetMode="External"/><Relationship Id="rId376" Type="http://schemas.openxmlformats.org/officeDocument/2006/relationships/hyperlink" Target="https://hanwhavision.eu/product/hco-7070ra/" TargetMode="External"/><Relationship Id="rId133" Type="http://schemas.openxmlformats.org/officeDocument/2006/relationships/hyperlink" Target="https://hanwhavision.eu/product/qnd-8011/" TargetMode="External"/><Relationship Id="rId375" Type="http://schemas.openxmlformats.org/officeDocument/2006/relationships/hyperlink" Target="https://hanwhavision.eu/product/SPS-A100M/" TargetMode="External"/><Relationship Id="rId172" Type="http://schemas.openxmlformats.org/officeDocument/2006/relationships/hyperlink" Target="https://hanwhavision.eu/product/tnv-7011rc/" TargetMode="External"/><Relationship Id="rId171" Type="http://schemas.openxmlformats.org/officeDocument/2006/relationships/hyperlink" Target="https://hanwhavision.eu/product/tno-7180rlp/" TargetMode="External"/><Relationship Id="rId170" Type="http://schemas.openxmlformats.org/officeDocument/2006/relationships/hyperlink" Target="https://hanwhavision.eu/product/tnv-c7013rc/" TargetMode="External"/><Relationship Id="rId165" Type="http://schemas.openxmlformats.org/officeDocument/2006/relationships/hyperlink" Target="https://hanwhavision.eu/product/ANO-L7012R/" TargetMode="External"/><Relationship Id="rId164" Type="http://schemas.openxmlformats.org/officeDocument/2006/relationships/hyperlink" Target="https://hanwhavision.eu/product/ANE-L7012R/" TargetMode="External"/><Relationship Id="rId163" Type="http://schemas.openxmlformats.org/officeDocument/2006/relationships/hyperlink" Target="https://hanwhavision.eu/product/ANE-L7012R/" TargetMode="External"/><Relationship Id="rId162" Type="http://schemas.openxmlformats.org/officeDocument/2006/relationships/hyperlink" Target="https://hanwhavision.eu/product/qnv-7012r/" TargetMode="External"/><Relationship Id="rId169" Type="http://schemas.openxmlformats.org/officeDocument/2006/relationships/hyperlink" Target="https://hanwhavision.eu/product/ANV-L7082R/" TargetMode="External"/><Relationship Id="rId168" Type="http://schemas.openxmlformats.org/officeDocument/2006/relationships/hyperlink" Target="https://hanwhavision.eu/product/ANV-L7012R/" TargetMode="External"/><Relationship Id="rId167" Type="http://schemas.openxmlformats.org/officeDocument/2006/relationships/hyperlink" Target="https://hanwhavision.eu/product/ANO-L7082R/" TargetMode="External"/><Relationship Id="rId166" Type="http://schemas.openxmlformats.org/officeDocument/2006/relationships/hyperlink" Target="https://hanwhavision.eu/product/ANO-L7022R" TargetMode="External"/><Relationship Id="rId161" Type="http://schemas.openxmlformats.org/officeDocument/2006/relationships/hyperlink" Target="https://hanwhavision.eu/product/qnv-7022r/" TargetMode="External"/><Relationship Id="rId160" Type="http://schemas.openxmlformats.org/officeDocument/2006/relationships/hyperlink" Target="https://hanwhavision.eu/product/qnv-7032r/" TargetMode="External"/><Relationship Id="rId159" Type="http://schemas.openxmlformats.org/officeDocument/2006/relationships/hyperlink" Target="https://hanwhavision.eu/product/qnv-7082r/" TargetMode="External"/><Relationship Id="rId154" Type="http://schemas.openxmlformats.org/officeDocument/2006/relationships/hyperlink" Target="https://hanwhavision.eu/product/qno-7012r/" TargetMode="External"/><Relationship Id="rId396" Type="http://schemas.openxmlformats.org/officeDocument/2006/relationships/hyperlink" Target="https://hanwhavision.eu/product/hcv-6070r/" TargetMode="External"/><Relationship Id="rId153" Type="http://schemas.openxmlformats.org/officeDocument/2006/relationships/hyperlink" Target="https://hanwhavision.eu/product/qno-7022r/" TargetMode="External"/><Relationship Id="rId395" Type="http://schemas.openxmlformats.org/officeDocument/2006/relationships/hyperlink" Target="https://hanwhavision.eu/product/hcv-6080/" TargetMode="External"/><Relationship Id="rId152" Type="http://schemas.openxmlformats.org/officeDocument/2006/relationships/hyperlink" Target="https://hanwhavision.eu/product/qno-7032r/" TargetMode="External"/><Relationship Id="rId394" Type="http://schemas.openxmlformats.org/officeDocument/2006/relationships/hyperlink" Target="https://hanwhavision.eu/product/hcv-6080r/" TargetMode="External"/><Relationship Id="rId151" Type="http://schemas.openxmlformats.org/officeDocument/2006/relationships/hyperlink" Target="https://hanwhavision.eu/product/qno-7082r/" TargetMode="External"/><Relationship Id="rId393" Type="http://schemas.openxmlformats.org/officeDocument/2006/relationships/hyperlink" Target="https://hanwhavision.eu/product/hco-6020r/" TargetMode="External"/><Relationship Id="rId158" Type="http://schemas.openxmlformats.org/officeDocument/2006/relationships/hyperlink" Target="https://hanwhavision.eu/product/qnd-7012r/" TargetMode="External"/><Relationship Id="rId157" Type="http://schemas.openxmlformats.org/officeDocument/2006/relationships/hyperlink" Target="https://hanwhavision.eu/product/qnd-7022r/" TargetMode="External"/><Relationship Id="rId399" Type="http://schemas.openxmlformats.org/officeDocument/2006/relationships/hyperlink" Target="https://hanwhavision.eu/product/hcd-6010/" TargetMode="External"/><Relationship Id="rId156" Type="http://schemas.openxmlformats.org/officeDocument/2006/relationships/hyperlink" Target="https://hanwhavision.eu/product/qnd-7032r/" TargetMode="External"/><Relationship Id="rId398" Type="http://schemas.openxmlformats.org/officeDocument/2006/relationships/hyperlink" Target="https://hanwhavision.eu/product/hcd-6070r/" TargetMode="External"/><Relationship Id="rId155" Type="http://schemas.openxmlformats.org/officeDocument/2006/relationships/hyperlink" Target="https://hanwhavision.eu/product/qnd-7082r/" TargetMode="External"/><Relationship Id="rId397" Type="http://schemas.openxmlformats.org/officeDocument/2006/relationships/hyperlink" Target="https://hanwhavision.eu/product/hcd-6080r/" TargetMode="External"/><Relationship Id="rId808" Type="http://schemas.openxmlformats.org/officeDocument/2006/relationships/hyperlink" Target="https://hanwhavision.eu/product/WRN-2110SB1" TargetMode="External"/><Relationship Id="rId807" Type="http://schemas.openxmlformats.org/officeDocument/2006/relationships/hyperlink" Target="https://hanwhavision.eu/product/WRN-2110SB1" TargetMode="External"/><Relationship Id="rId806" Type="http://schemas.openxmlformats.org/officeDocument/2006/relationships/hyperlink" Target="https://hanwhavision.eu/product/WRN-2110SB1" TargetMode="External"/><Relationship Id="rId805" Type="http://schemas.openxmlformats.org/officeDocument/2006/relationships/hyperlink" Target="https://hanwhavision.eu/product/WRN-2110B1" TargetMode="External"/><Relationship Id="rId809" Type="http://schemas.openxmlformats.org/officeDocument/2006/relationships/hyperlink" Target="https://hanwhavision.eu/product/WRN-2110SB1" TargetMode="External"/><Relationship Id="rId800" Type="http://schemas.openxmlformats.org/officeDocument/2006/relationships/hyperlink" Target="https://hanwhavision.eu/product/wrn-2010s/" TargetMode="External"/><Relationship Id="rId804" Type="http://schemas.openxmlformats.org/officeDocument/2006/relationships/hyperlink" Target="https://hanwhavision.eu/product/WRN-2110B1" TargetMode="External"/><Relationship Id="rId803" Type="http://schemas.openxmlformats.org/officeDocument/2006/relationships/hyperlink" Target="https://hanwhavision.eu/product/WRN-2110B1" TargetMode="External"/><Relationship Id="rId802" Type="http://schemas.openxmlformats.org/officeDocument/2006/relationships/hyperlink" Target="https://hanwhavision.eu/product/WRN-2110B1" TargetMode="External"/><Relationship Id="rId801" Type="http://schemas.openxmlformats.org/officeDocument/2006/relationships/hyperlink" Target="https://hanwhavision.eu/product/wrn-2010s/" TargetMode="External"/><Relationship Id="rId40" Type="http://schemas.openxmlformats.org/officeDocument/2006/relationships/hyperlink" Target="https://hanwhavision.eu/product/pnv-a9081r/" TargetMode="External"/><Relationship Id="rId42" Type="http://schemas.openxmlformats.org/officeDocument/2006/relationships/hyperlink" Target="https://hanwhavision.eu/product/pnd-a9081rf/" TargetMode="External"/><Relationship Id="rId41" Type="http://schemas.openxmlformats.org/officeDocument/2006/relationships/hyperlink" Target="https://hanwhavision.eu/product/pnd-a9081rv/" TargetMode="External"/><Relationship Id="rId44" Type="http://schemas.openxmlformats.org/officeDocument/2006/relationships/hyperlink" Target="https://hanwhavision.eu/product/qno-c9083r/" TargetMode="External"/><Relationship Id="rId43" Type="http://schemas.openxmlformats.org/officeDocument/2006/relationships/hyperlink" Target="https://hanwhavision.eu/product/QNE-C9013RL/" TargetMode="External"/><Relationship Id="rId46" Type="http://schemas.openxmlformats.org/officeDocument/2006/relationships/hyperlink" Target="https://hanwhavision.eu/product/qnv-c9011r/" TargetMode="External"/><Relationship Id="rId45" Type="http://schemas.openxmlformats.org/officeDocument/2006/relationships/hyperlink" Target="https://hanwhavision.eu/product/qnv-c9083r/" TargetMode="External"/><Relationship Id="rId509" Type="http://schemas.openxmlformats.org/officeDocument/2006/relationships/hyperlink" Target="https://hanwhavision.eu/product/SBP-160C" TargetMode="External"/><Relationship Id="rId508" Type="http://schemas.openxmlformats.org/officeDocument/2006/relationships/hyperlink" Target="https://hanwhavision.eu/product/SBP-156HMWR/" TargetMode="External"/><Relationship Id="rId503" Type="http://schemas.openxmlformats.org/officeDocument/2006/relationships/hyperlink" Target="https://hanwhavision.eu/product/sbp-122hmw/" TargetMode="External"/><Relationship Id="rId745" Type="http://schemas.openxmlformats.org/officeDocument/2006/relationships/hyperlink" Target="https://hanwhavision.eu/product/SPI-BWN0" TargetMode="External"/><Relationship Id="rId502" Type="http://schemas.openxmlformats.org/officeDocument/2006/relationships/hyperlink" Target="https://hanwhavision.eu/product/sbp-122hm/" TargetMode="External"/><Relationship Id="rId744" Type="http://schemas.openxmlformats.org/officeDocument/2006/relationships/hyperlink" Target="https://hanwhavision.eu/product/SPI-BWM0" TargetMode="External"/><Relationship Id="rId501" Type="http://schemas.openxmlformats.org/officeDocument/2006/relationships/hyperlink" Target="https://hanwhavision.eu/product/sbp-120hmw/" TargetMode="External"/><Relationship Id="rId743" Type="http://schemas.openxmlformats.org/officeDocument/2006/relationships/hyperlink" Target="https://hanwhavision.eu/product/SPI-BWM1" TargetMode="External"/><Relationship Id="rId500" Type="http://schemas.openxmlformats.org/officeDocument/2006/relationships/hyperlink" Target="https://hanwhavision.eu/product/sbp-099hmw/" TargetMode="External"/><Relationship Id="rId742" Type="http://schemas.openxmlformats.org/officeDocument/2006/relationships/hyperlink" Target="https://hanwhavision.eu/product/SPI-BWW0" TargetMode="External"/><Relationship Id="rId507" Type="http://schemas.openxmlformats.org/officeDocument/2006/relationships/hyperlink" Target="https://hanwhavision.eu/product/SBP-156HMWP/" TargetMode="External"/><Relationship Id="rId749" Type="http://schemas.openxmlformats.org/officeDocument/2006/relationships/hyperlink" Target="https://hanwhavision.eu/product/SPI-BRN0" TargetMode="External"/><Relationship Id="rId506" Type="http://schemas.openxmlformats.org/officeDocument/2006/relationships/hyperlink" Target="https://hanwhavision.eu/product/sbp-156hmw/" TargetMode="External"/><Relationship Id="rId748" Type="http://schemas.openxmlformats.org/officeDocument/2006/relationships/hyperlink" Target="https://hanwhavision.eu/product/SPI-BRM0" TargetMode="External"/><Relationship Id="rId505" Type="http://schemas.openxmlformats.org/officeDocument/2006/relationships/hyperlink" Target="https://hanwhavision.eu/product/sbp-125hmw/" TargetMode="External"/><Relationship Id="rId747" Type="http://schemas.openxmlformats.org/officeDocument/2006/relationships/hyperlink" Target="https://hanwhavision.eu/product/SPI-BRM1" TargetMode="External"/><Relationship Id="rId504" Type="http://schemas.openxmlformats.org/officeDocument/2006/relationships/hyperlink" Target="https://hanwhavision.eu/product/sbp-140hmw/" TargetMode="External"/><Relationship Id="rId746" Type="http://schemas.openxmlformats.org/officeDocument/2006/relationships/hyperlink" Target="https://hanwhavision.eu/product/SPI-BRW0" TargetMode="External"/><Relationship Id="rId48" Type="http://schemas.openxmlformats.org/officeDocument/2006/relationships/hyperlink" Target="https://hanwhavision.eu/product/PNO-A9311RLP" TargetMode="External"/><Relationship Id="rId47" Type="http://schemas.openxmlformats.org/officeDocument/2006/relationships/hyperlink" Target="https://hanwhavision.eu/product/pno-a9081rlp/" TargetMode="External"/><Relationship Id="rId49" Type="http://schemas.openxmlformats.org/officeDocument/2006/relationships/hyperlink" Target="https://hanwhavision.eu/product/pnv-a9081rlp/" TargetMode="External"/><Relationship Id="rId741" Type="http://schemas.openxmlformats.org/officeDocument/2006/relationships/hyperlink" Target="https://hanwhavision.eu/product/SBO-BPM0" TargetMode="External"/><Relationship Id="rId740" Type="http://schemas.openxmlformats.org/officeDocument/2006/relationships/hyperlink" Target="https://hanwhavision.eu/product/SLM-5M25" TargetMode="External"/><Relationship Id="rId31" Type="http://schemas.openxmlformats.org/officeDocument/2006/relationships/hyperlink" Target="https://hanwhavision.eu/product/xnp-c9253/" TargetMode="External"/><Relationship Id="rId30" Type="http://schemas.openxmlformats.org/officeDocument/2006/relationships/hyperlink" Target="https://hanwhavision.eu/product/xnp-c9253r/" TargetMode="External"/><Relationship Id="rId33" Type="http://schemas.openxmlformats.org/officeDocument/2006/relationships/hyperlink" Target="https://hanwhavision.eu/product/PNB-A9092" TargetMode="External"/><Relationship Id="rId32" Type="http://schemas.openxmlformats.org/officeDocument/2006/relationships/hyperlink" Target="https://hanwhavision.eu/product/PNB-A9082" TargetMode="External"/><Relationship Id="rId35" Type="http://schemas.openxmlformats.org/officeDocument/2006/relationships/hyperlink" Target="https://hanwhavision.eu/product/PNO-A9092R" TargetMode="External"/><Relationship Id="rId34" Type="http://schemas.openxmlformats.org/officeDocument/2006/relationships/hyperlink" Target="https://hanwhavision.eu/product/PNO-A9082R" TargetMode="External"/><Relationship Id="rId739" Type="http://schemas.openxmlformats.org/officeDocument/2006/relationships/hyperlink" Target="https://hanwhavision.eu/product/SLM-5M16" TargetMode="External"/><Relationship Id="rId734" Type="http://schemas.openxmlformats.org/officeDocument/2006/relationships/hyperlink" Target="https://hanwhavision.eu/product/TNS-9060IBC" TargetMode="External"/><Relationship Id="rId733" Type="http://schemas.openxmlformats.org/officeDocument/2006/relationships/hyperlink" Target="https://hanwhavision.eu/product/TNS-9050IBC" TargetMode="External"/><Relationship Id="rId732" Type="http://schemas.openxmlformats.org/officeDocument/2006/relationships/hyperlink" Target="https://hanwhavision.eu/product/TNS-9040IBC" TargetMode="External"/><Relationship Id="rId731" Type="http://schemas.openxmlformats.org/officeDocument/2006/relationships/hyperlink" Target="https://hanwhavision.eu/product/spc-1010/" TargetMode="External"/><Relationship Id="rId738" Type="http://schemas.openxmlformats.org/officeDocument/2006/relationships/hyperlink" Target="https://hanwhavision.eu/product/SLM-5M12" TargetMode="External"/><Relationship Id="rId737" Type="http://schemas.openxmlformats.org/officeDocument/2006/relationships/hyperlink" Target="https://hanwhavision.eu/product/SLM-5M08" TargetMode="External"/><Relationship Id="rId736" Type="http://schemas.openxmlformats.org/officeDocument/2006/relationships/hyperlink" Target="https://hanwhavision.eu/product/SLM-5M06" TargetMode="External"/><Relationship Id="rId735" Type="http://schemas.openxmlformats.org/officeDocument/2006/relationships/hyperlink" Target="https://hanwhavision.eu/product/TNS-7000M" TargetMode="External"/><Relationship Id="rId37" Type="http://schemas.openxmlformats.org/officeDocument/2006/relationships/hyperlink" Target="https://hanwhavision.eu/product/PND-A9082RV" TargetMode="External"/><Relationship Id="rId36" Type="http://schemas.openxmlformats.org/officeDocument/2006/relationships/hyperlink" Target="https://hanwhavision.eu/product/PNV-A9082RZ" TargetMode="External"/><Relationship Id="rId39" Type="http://schemas.openxmlformats.org/officeDocument/2006/relationships/hyperlink" Target="https://hanwhavision.eu/product/pno-a9081r/" TargetMode="External"/><Relationship Id="rId38" Type="http://schemas.openxmlformats.org/officeDocument/2006/relationships/hyperlink" Target="https://hanwhavision.eu/product/PNO-A9311R" TargetMode="External"/><Relationship Id="rId730" Type="http://schemas.openxmlformats.org/officeDocument/2006/relationships/hyperlink" Target="https://hanwhavision.eu/product/spc-2010/" TargetMode="External"/><Relationship Id="rId20" Type="http://schemas.openxmlformats.org/officeDocument/2006/relationships/hyperlink" Target="https://hanwhavision.eu/product/XND-A9084RV" TargetMode="External"/><Relationship Id="rId22" Type="http://schemas.openxmlformats.org/officeDocument/2006/relationships/hyperlink" Target="https://hanwhavision.eu/product/XNV-A9084R" TargetMode="External"/><Relationship Id="rId21" Type="http://schemas.openxmlformats.org/officeDocument/2006/relationships/hyperlink" Target="https://hanwhavision.eu/product/XNO-A9084R" TargetMode="External"/><Relationship Id="rId24" Type="http://schemas.openxmlformats.org/officeDocument/2006/relationships/hyperlink" Target="https://hanwhavision.eu/product/xno-c9083r/" TargetMode="External"/><Relationship Id="rId23" Type="http://schemas.openxmlformats.org/officeDocument/2006/relationships/hyperlink" Target="https://hanwhavision.eu/product/XNB-9003/" TargetMode="External"/><Relationship Id="rId525" Type="http://schemas.openxmlformats.org/officeDocument/2006/relationships/hyperlink" Target="https://hanwhavision.eu/product/sbp-300hm7/" TargetMode="External"/><Relationship Id="rId767" Type="http://schemas.openxmlformats.org/officeDocument/2006/relationships/hyperlink" Target="https://hanwhavision.eu/product/VI-SW1CH" TargetMode="External"/><Relationship Id="rId524" Type="http://schemas.openxmlformats.org/officeDocument/2006/relationships/hyperlink" Target="https://hanwhavision.eu/product/sbp-300hms6/" TargetMode="External"/><Relationship Id="rId766" Type="http://schemas.openxmlformats.org/officeDocument/2006/relationships/hyperlink" Target="https://hanwhavision.eu/product/VI-SWBL" TargetMode="External"/><Relationship Id="rId523" Type="http://schemas.openxmlformats.org/officeDocument/2006/relationships/hyperlink" Target="https://hanwhavision.eu/product/sbp-300hm6/" TargetMode="External"/><Relationship Id="rId765" Type="http://schemas.openxmlformats.org/officeDocument/2006/relationships/hyperlink" Target="https://hanwhavision.eu/product/AIB-800" TargetMode="External"/><Relationship Id="rId522" Type="http://schemas.openxmlformats.org/officeDocument/2006/relationships/hyperlink" Target="https://hanwhavision.eu/product/sbp-300hm5/" TargetMode="External"/><Relationship Id="rId764" Type="http://schemas.openxmlformats.org/officeDocument/2006/relationships/hyperlink" Target="https://hanwhavision.eu/product/SNC-PS-60-UK" TargetMode="External"/><Relationship Id="rId529" Type="http://schemas.openxmlformats.org/officeDocument/2006/relationships/hyperlink" Target="https://hanwhavision.eu/product/sbp-301hmw3/" TargetMode="External"/><Relationship Id="rId528" Type="http://schemas.openxmlformats.org/officeDocument/2006/relationships/hyperlink" Target="https://hanwhavision.eu/product/SBP-300HMW8" TargetMode="External"/><Relationship Id="rId527" Type="http://schemas.openxmlformats.org/officeDocument/2006/relationships/hyperlink" Target="https://hanwhavision.eu/product/sbp-300hm8/" TargetMode="External"/><Relationship Id="rId769" Type="http://schemas.openxmlformats.org/officeDocument/2006/relationships/hyperlink" Target="https://hanwhavision.eu/technology/AIA-C01FAC" TargetMode="External"/><Relationship Id="rId526" Type="http://schemas.openxmlformats.org/officeDocument/2006/relationships/hyperlink" Target="https://hanwhavision.eu/product/sbp-300hmw7/" TargetMode="External"/><Relationship Id="rId768" Type="http://schemas.openxmlformats.org/officeDocument/2006/relationships/hyperlink" Target="https://hanwhavision.eu/technology/AIA-C01BLK" TargetMode="External"/><Relationship Id="rId26" Type="http://schemas.openxmlformats.org/officeDocument/2006/relationships/hyperlink" Target="https://hanwhavision.eu/product/xnd-c9083rv/" TargetMode="External"/><Relationship Id="rId25" Type="http://schemas.openxmlformats.org/officeDocument/2006/relationships/hyperlink" Target="https://hanwhavision.eu/product/xnv-c9083r/" TargetMode="External"/><Relationship Id="rId28" Type="http://schemas.openxmlformats.org/officeDocument/2006/relationships/hyperlink" Target="https://hanwhavision.eu/product/XNP-C9310R" TargetMode="External"/><Relationship Id="rId27" Type="http://schemas.openxmlformats.org/officeDocument/2006/relationships/hyperlink" Target="https://hanwhavision.eu/product/TNP-A9430RW" TargetMode="External"/><Relationship Id="rId521" Type="http://schemas.openxmlformats.org/officeDocument/2006/relationships/hyperlink" Target="https://hanwhavision.eu/product/SBP-115PA" TargetMode="External"/><Relationship Id="rId763" Type="http://schemas.openxmlformats.org/officeDocument/2006/relationships/hyperlink" Target="https://hanwhavision.eu/product/SNC-PS-60-EU" TargetMode="External"/><Relationship Id="rId29" Type="http://schemas.openxmlformats.org/officeDocument/2006/relationships/hyperlink" Target="https://hanwhavision.eu/product/xnp-c9303rw/" TargetMode="External"/><Relationship Id="rId520" Type="http://schemas.openxmlformats.org/officeDocument/2006/relationships/hyperlink" Target="https://hanwhavision.eu/product/SBP-115PFA" TargetMode="External"/><Relationship Id="rId762" Type="http://schemas.openxmlformats.org/officeDocument/2006/relationships/hyperlink" Target="https://hanwhavision.eu/product/SPP-C08100E" TargetMode="External"/><Relationship Id="rId761" Type="http://schemas.openxmlformats.org/officeDocument/2006/relationships/hyperlink" Target="https://hanwhavision.eu/product/SPP-C08050E" TargetMode="External"/><Relationship Id="rId760" Type="http://schemas.openxmlformats.org/officeDocument/2006/relationships/hyperlink" Target="https://hanwhavision.eu/product/SPP-C08020E" TargetMode="External"/><Relationship Id="rId11" Type="http://schemas.openxmlformats.org/officeDocument/2006/relationships/hyperlink" Target="https://hanwhavision.eu/product/pnm-c12083rvd/" TargetMode="External"/><Relationship Id="rId10" Type="http://schemas.openxmlformats.org/officeDocument/2006/relationships/hyperlink" Target="https://hanwhavision.eu/product/PNM-C16083RQZ" TargetMode="External"/><Relationship Id="rId13" Type="http://schemas.openxmlformats.org/officeDocument/2006/relationships/hyperlink" Target="https://hanwhavision.eu/product/xnf-9013rv/" TargetMode="External"/><Relationship Id="rId12" Type="http://schemas.openxmlformats.org/officeDocument/2006/relationships/hyperlink" Target="https://hanwhavision.eu/product/pnm-c9022rv/" TargetMode="External"/><Relationship Id="rId519" Type="http://schemas.openxmlformats.org/officeDocument/2006/relationships/hyperlink" Target="https://hanwhavision.eu/product/SBP-250WMW" TargetMode="External"/><Relationship Id="rId514" Type="http://schemas.openxmlformats.org/officeDocument/2006/relationships/hyperlink" Target="https://hanwhavision.eu/product/SBP-187HM" TargetMode="External"/><Relationship Id="rId756" Type="http://schemas.openxmlformats.org/officeDocument/2006/relationships/hyperlink" Target="https://hanwhavision.eu/product/SPF-BPB0" TargetMode="External"/><Relationship Id="rId513" Type="http://schemas.openxmlformats.org/officeDocument/2006/relationships/hyperlink" Target="https://hanwhavision.eu/product/sbp-180hmw1/" TargetMode="External"/><Relationship Id="rId755" Type="http://schemas.openxmlformats.org/officeDocument/2006/relationships/hyperlink" Target="https://hanwhavision.eu/product/SPF-BDB0" TargetMode="External"/><Relationship Id="rId512" Type="http://schemas.openxmlformats.org/officeDocument/2006/relationships/hyperlink" Target="https://hanwhavision.eu/product/sbp-187hm/" TargetMode="External"/><Relationship Id="rId754" Type="http://schemas.openxmlformats.org/officeDocument/2006/relationships/hyperlink" Target="https://hanwhavision.eu/product/SPF-BCB0" TargetMode="External"/><Relationship Id="rId511" Type="http://schemas.openxmlformats.org/officeDocument/2006/relationships/hyperlink" Target="https://hanwhavision.eu/product/sbp-167hm/" TargetMode="External"/><Relationship Id="rId753" Type="http://schemas.openxmlformats.org/officeDocument/2006/relationships/hyperlink" Target="https://hanwhavision.eu/product/SPI-BBN0" TargetMode="External"/><Relationship Id="rId518" Type="http://schemas.openxmlformats.org/officeDocument/2006/relationships/hyperlink" Target="https://hanwhavision.eu/product/sbp-250hmw/" TargetMode="External"/><Relationship Id="rId517" Type="http://schemas.openxmlformats.org/officeDocument/2006/relationships/hyperlink" Target="https://hanwhavision.eu/product/sbp-215hmw/" TargetMode="External"/><Relationship Id="rId759" Type="http://schemas.openxmlformats.org/officeDocument/2006/relationships/hyperlink" Target="https://hanwhavision.eu/product/SPP-C12100P" TargetMode="External"/><Relationship Id="rId516" Type="http://schemas.openxmlformats.org/officeDocument/2006/relationships/hyperlink" Target="https://hanwhavision.eu/product/SBP-215C" TargetMode="External"/><Relationship Id="rId758" Type="http://schemas.openxmlformats.org/officeDocument/2006/relationships/hyperlink" Target="https://hanwhavision.eu/product/SPP-C12050P" TargetMode="External"/><Relationship Id="rId515" Type="http://schemas.openxmlformats.org/officeDocument/2006/relationships/hyperlink" Target="https://hanwhavision.eu/product/SBP-200HMW/" TargetMode="External"/><Relationship Id="rId757" Type="http://schemas.openxmlformats.org/officeDocument/2006/relationships/hyperlink" Target="https://hanwhavision.eu/product/SPP-C12020P" TargetMode="External"/><Relationship Id="rId15" Type="http://schemas.openxmlformats.org/officeDocument/2006/relationships/hyperlink" Target="https://hanwhavision.eu/product/QNF-C9010V" TargetMode="External"/><Relationship Id="rId14" Type="http://schemas.openxmlformats.org/officeDocument/2006/relationships/hyperlink" Target="https://hanwhavision.eu/product/QNF-C9010" TargetMode="External"/><Relationship Id="rId17" Type="http://schemas.openxmlformats.org/officeDocument/2006/relationships/hyperlink" Target="https://hanwhavision.eu/product/xnv-9083r/" TargetMode="External"/><Relationship Id="rId16" Type="http://schemas.openxmlformats.org/officeDocument/2006/relationships/hyperlink" Target="https://hanwhavision.eu/product/xno-9083r/" TargetMode="External"/><Relationship Id="rId19" Type="http://schemas.openxmlformats.org/officeDocument/2006/relationships/hyperlink" Target="https://hanwhavision.eu/product/xnd-9083rv/" TargetMode="External"/><Relationship Id="rId510" Type="http://schemas.openxmlformats.org/officeDocument/2006/relationships/hyperlink" Target="https://hanwhavision.eu/product/sbp-160hmw1/" TargetMode="External"/><Relationship Id="rId752" Type="http://schemas.openxmlformats.org/officeDocument/2006/relationships/hyperlink" Target="https://hanwhavision.eu/product/SPI-BBM0" TargetMode="External"/><Relationship Id="rId18" Type="http://schemas.openxmlformats.org/officeDocument/2006/relationships/hyperlink" Target="https://hanwhavision.eu/product/xnv-9083rz/" TargetMode="External"/><Relationship Id="rId751" Type="http://schemas.openxmlformats.org/officeDocument/2006/relationships/hyperlink" Target="https://hanwhavision.eu/product/SPI-BBM1" TargetMode="External"/><Relationship Id="rId750" Type="http://schemas.openxmlformats.org/officeDocument/2006/relationships/hyperlink" Target="https://hanwhavision.eu/product/SPI-BBW0" TargetMode="External"/><Relationship Id="rId84" Type="http://schemas.openxmlformats.org/officeDocument/2006/relationships/hyperlink" Target="https://hanwhavision.eu/product/xnd-8082rf/" TargetMode="External"/><Relationship Id="rId83" Type="http://schemas.openxmlformats.org/officeDocument/2006/relationships/hyperlink" Target="https://hanwhavision.eu/product/xnv-8082r/" TargetMode="External"/><Relationship Id="rId86" Type="http://schemas.openxmlformats.org/officeDocument/2006/relationships/hyperlink" Target="https://hanwhavision.eu/product/xnf-8010rvm/" TargetMode="External"/><Relationship Id="rId85" Type="http://schemas.openxmlformats.org/officeDocument/2006/relationships/hyperlink" Target="https://hanwhavision.eu/product/xnd-8082rv/" TargetMode="External"/><Relationship Id="rId88" Type="http://schemas.openxmlformats.org/officeDocument/2006/relationships/hyperlink" Target="https://hanwhavision.eu/product/xnf-8010r/" TargetMode="External"/><Relationship Id="rId87" Type="http://schemas.openxmlformats.org/officeDocument/2006/relationships/hyperlink" Target="https://hanwhavision.eu/product/xnf-8010rv/" TargetMode="External"/><Relationship Id="rId89" Type="http://schemas.openxmlformats.org/officeDocument/2006/relationships/hyperlink" Target="https://hanwhavision.eu/product/xnp-8300rw/" TargetMode="External"/><Relationship Id="rId709" Type="http://schemas.openxmlformats.org/officeDocument/2006/relationships/hyperlink" Target="https://hanwhavision.eu/product/spb-mdc51v/" TargetMode="External"/><Relationship Id="rId708" Type="http://schemas.openxmlformats.org/officeDocument/2006/relationships/hyperlink" Target="https://hanwhavision.eu/product/spb-inw72/" TargetMode="External"/><Relationship Id="rId707" Type="http://schemas.openxmlformats.org/officeDocument/2006/relationships/hyperlink" Target="https://hanwhavision.eu/product/SPB-INW12" TargetMode="External"/><Relationship Id="rId706" Type="http://schemas.openxmlformats.org/officeDocument/2006/relationships/hyperlink" Target="https://hanwhavision.eu/product/spg-van13w/" TargetMode="External"/><Relationship Id="rId80" Type="http://schemas.openxmlformats.org/officeDocument/2006/relationships/hyperlink" Target="https://hanwhavision.eu/product/xnp-c8253r/" TargetMode="External"/><Relationship Id="rId82" Type="http://schemas.openxmlformats.org/officeDocument/2006/relationships/hyperlink" Target="https://hanwhavision.eu/product/xno-8082r/" TargetMode="External"/><Relationship Id="rId81" Type="http://schemas.openxmlformats.org/officeDocument/2006/relationships/hyperlink" Target="https://hanwhavision.eu/product/xnp-c8253/" TargetMode="External"/><Relationship Id="rId701" Type="http://schemas.openxmlformats.org/officeDocument/2006/relationships/hyperlink" Target="https://hanwhavision.eu/product/spb-ind88w/" TargetMode="External"/><Relationship Id="rId700" Type="http://schemas.openxmlformats.org/officeDocument/2006/relationships/hyperlink" Target="https://hanwhavision.eu/product/SPB-IND87W" TargetMode="External"/><Relationship Id="rId705" Type="http://schemas.openxmlformats.org/officeDocument/2006/relationships/hyperlink" Target="https://hanwhavision.eu/product/SPG-PTZ95W" TargetMode="External"/><Relationship Id="rId704" Type="http://schemas.openxmlformats.org/officeDocument/2006/relationships/hyperlink" Target="https://hanwhavision.eu/product/spg-ind72b/" TargetMode="External"/><Relationship Id="rId703" Type="http://schemas.openxmlformats.org/officeDocument/2006/relationships/hyperlink" Target="https://hanwhavision.eu/product/spg-ind16b/" TargetMode="External"/><Relationship Id="rId702" Type="http://schemas.openxmlformats.org/officeDocument/2006/relationships/hyperlink" Target="https://hanwhavision.eu/product/spg-ind12b/" TargetMode="External"/><Relationship Id="rId73" Type="http://schemas.openxmlformats.org/officeDocument/2006/relationships/hyperlink" Target="https://hanwhavision.eu/product/xnv-8083rz/" TargetMode="External"/><Relationship Id="rId72" Type="http://schemas.openxmlformats.org/officeDocument/2006/relationships/hyperlink" Target="https://hanwhavision.eu/product/xnv-8083r/" TargetMode="External"/><Relationship Id="rId75" Type="http://schemas.openxmlformats.org/officeDocument/2006/relationships/hyperlink" Target="https://hanwhavision.eu/product/xnd-8083rv/" TargetMode="External"/><Relationship Id="rId74" Type="http://schemas.openxmlformats.org/officeDocument/2006/relationships/hyperlink" Target="https://hanwhavision.eu/product/xnv-8083z/" TargetMode="External"/><Relationship Id="rId77" Type="http://schemas.openxmlformats.org/officeDocument/2006/relationships/hyperlink" Target="https://hanwhavision.eu/product/xnv-c8083r/" TargetMode="External"/><Relationship Id="rId76" Type="http://schemas.openxmlformats.org/officeDocument/2006/relationships/hyperlink" Target="https://hanwhavision.eu/product/xno-c8083r/" TargetMode="External"/><Relationship Id="rId79" Type="http://schemas.openxmlformats.org/officeDocument/2006/relationships/hyperlink" Target="https://hanwhavision.eu/product/xnp-c8303rw/" TargetMode="External"/><Relationship Id="rId78" Type="http://schemas.openxmlformats.org/officeDocument/2006/relationships/hyperlink" Target="https://hanwhavision.eu/product/xnd-c8083rv/" TargetMode="External"/><Relationship Id="rId71" Type="http://schemas.openxmlformats.org/officeDocument/2006/relationships/hyperlink" Target="https://hanwhavision.eu/product/xno-8083r/" TargetMode="External"/><Relationship Id="rId70" Type="http://schemas.openxmlformats.org/officeDocument/2006/relationships/hyperlink" Target="https://hanwhavision.eu/product/xnd-8093rv/" TargetMode="External"/><Relationship Id="rId62" Type="http://schemas.openxmlformats.org/officeDocument/2006/relationships/hyperlink" Target="https://hanwhavision.eu/product/xnd-9082rv/" TargetMode="External"/><Relationship Id="rId61" Type="http://schemas.openxmlformats.org/officeDocument/2006/relationships/hyperlink" Target="https://hanwhavision.eu/product/xnd-9082rf/" TargetMode="External"/><Relationship Id="rId64" Type="http://schemas.openxmlformats.org/officeDocument/2006/relationships/hyperlink" Target="https://hanwhavision.eu/product/xnp-9300rw/" TargetMode="External"/><Relationship Id="rId63" Type="http://schemas.openxmlformats.org/officeDocument/2006/relationships/hyperlink" Target="https://hanwhavision.eu/product/xnb-9002/" TargetMode="External"/><Relationship Id="rId66" Type="http://schemas.openxmlformats.org/officeDocument/2006/relationships/hyperlink" Target="https://hanwhavision.eu/product/PNM-9000QB/" TargetMode="External"/><Relationship Id="rId65" Type="http://schemas.openxmlformats.org/officeDocument/2006/relationships/hyperlink" Target="https://hanwhavision.eu/product/xnp-9250/" TargetMode="External"/><Relationship Id="rId68" Type="http://schemas.openxmlformats.org/officeDocument/2006/relationships/hyperlink" Target="https://hanwhavision.eu/product/TNF-9010" TargetMode="External"/><Relationship Id="rId67" Type="http://schemas.openxmlformats.org/officeDocument/2006/relationships/hyperlink" Target="https://hanwhavision.eu/product/qnf-9010/" TargetMode="External"/><Relationship Id="rId729" Type="http://schemas.openxmlformats.org/officeDocument/2006/relationships/hyperlink" Target="https://hanwhavision.eu/product/spc-2001/" TargetMode="External"/><Relationship Id="rId728" Type="http://schemas.openxmlformats.org/officeDocument/2006/relationships/hyperlink" Target="https://hanwhavision.eu/product/SPU-60241" TargetMode="External"/><Relationship Id="rId60" Type="http://schemas.openxmlformats.org/officeDocument/2006/relationships/hyperlink" Target="https://hanwhavision.eu/product/xnv-9082r/" TargetMode="External"/><Relationship Id="rId723" Type="http://schemas.openxmlformats.org/officeDocument/2006/relationships/hyperlink" Target="https://hanwhavision.eu/product/SMT-2710/" TargetMode="External"/><Relationship Id="rId722" Type="http://schemas.openxmlformats.org/officeDocument/2006/relationships/hyperlink" Target="https://hanwhavision.eu/product/SMT-3215/" TargetMode="External"/><Relationship Id="rId721" Type="http://schemas.openxmlformats.org/officeDocument/2006/relationships/hyperlink" Target="https://hanwhavision.eu/product/SMT-2740/" TargetMode="External"/><Relationship Id="rId720" Type="http://schemas.openxmlformats.org/officeDocument/2006/relationships/hyperlink" Target="https://hanwhavision.eu/product/smt-3240/" TargetMode="External"/><Relationship Id="rId727" Type="http://schemas.openxmlformats.org/officeDocument/2006/relationships/hyperlink" Target="https://hanwhavision.eu/product/sbm-4343/" TargetMode="External"/><Relationship Id="rId726" Type="http://schemas.openxmlformats.org/officeDocument/2006/relationships/hyperlink" Target="https://hanwhavision.eu/product/smt-2212/" TargetMode="External"/><Relationship Id="rId725" Type="http://schemas.openxmlformats.org/officeDocument/2006/relationships/hyperlink" Target="https://hanwhavision.eu/product/smt-2431/" TargetMode="External"/><Relationship Id="rId724" Type="http://schemas.openxmlformats.org/officeDocument/2006/relationships/hyperlink" Target="https://hanwhavision.eu/product/SMT-2721D" TargetMode="External"/><Relationship Id="rId69" Type="http://schemas.openxmlformats.org/officeDocument/2006/relationships/hyperlink" Target="https://hanwhavision.eu/product/xnv-8093r/" TargetMode="External"/><Relationship Id="rId51" Type="http://schemas.openxmlformats.org/officeDocument/2006/relationships/hyperlink" Target="https://hanwhavision.eu/product/PNM-9085RQZ1" TargetMode="External"/><Relationship Id="rId50" Type="http://schemas.openxmlformats.org/officeDocument/2006/relationships/hyperlink" Target="https://hanwhavision.eu/product/PNM-9322VQP" TargetMode="External"/><Relationship Id="rId53" Type="http://schemas.openxmlformats.org/officeDocument/2006/relationships/hyperlink" Target="https://hanwhavision.eu/product/xnf-9010rvm/" TargetMode="External"/><Relationship Id="rId52" Type="http://schemas.openxmlformats.org/officeDocument/2006/relationships/hyperlink" Target="https://hanwhavision.eu/product/pnm-9031rv/" TargetMode="External"/><Relationship Id="rId55" Type="http://schemas.openxmlformats.org/officeDocument/2006/relationships/hyperlink" Target="https://hanwhavision.eu/product/xnf-9010rs/" TargetMode="External"/><Relationship Id="rId54" Type="http://schemas.openxmlformats.org/officeDocument/2006/relationships/hyperlink" Target="https://hanwhavision.eu/product/xnf-9010rv/" TargetMode="External"/><Relationship Id="rId57" Type="http://schemas.openxmlformats.org/officeDocument/2006/relationships/hyperlink" Target="https://hanwhavision.eu/product/pnm-9084qz1/" TargetMode="External"/><Relationship Id="rId56" Type="http://schemas.openxmlformats.org/officeDocument/2006/relationships/hyperlink" Target="https://hanwhavision.eu/product/pnm-9084rqz1/" TargetMode="External"/><Relationship Id="rId719" Type="http://schemas.openxmlformats.org/officeDocument/2006/relationships/hyperlink" Target="https://hanwhavision.eu/product/smt-1030pvw/" TargetMode="External"/><Relationship Id="rId718" Type="http://schemas.openxmlformats.org/officeDocument/2006/relationships/hyperlink" Target="https://hanwhavision.eu/product/SMT-1031PV/" TargetMode="External"/><Relationship Id="rId717" Type="http://schemas.openxmlformats.org/officeDocument/2006/relationships/hyperlink" Target="https://hanwhavision.eu/product/SMT-2721PV" TargetMode="External"/><Relationship Id="rId712" Type="http://schemas.openxmlformats.org/officeDocument/2006/relationships/hyperlink" Target="https://hanwhavision.eu/product/spb-mdc31/" TargetMode="External"/><Relationship Id="rId711" Type="http://schemas.openxmlformats.org/officeDocument/2006/relationships/hyperlink" Target="https://hanwhavision.eu/product/SPB-MDC41V" TargetMode="External"/><Relationship Id="rId710" Type="http://schemas.openxmlformats.org/officeDocument/2006/relationships/hyperlink" Target="https://hanwhavision.eu/product/spb-mdc41/" TargetMode="External"/><Relationship Id="rId716" Type="http://schemas.openxmlformats.org/officeDocument/2006/relationships/hyperlink" Target="https://hanwhavision.eu/product/SMT-2731PV" TargetMode="External"/><Relationship Id="rId715" Type="http://schemas.openxmlformats.org/officeDocument/2006/relationships/hyperlink" Target="https://hanwhavision.eu/product/SMT-3221PV" TargetMode="External"/><Relationship Id="rId714" Type="http://schemas.openxmlformats.org/officeDocument/2006/relationships/hyperlink" Target="https://hanwhavision.eu/product/SMT-3231PV" TargetMode="External"/><Relationship Id="rId713" Type="http://schemas.openxmlformats.org/officeDocument/2006/relationships/hyperlink" Target="https://hanwhavision.eu/product/spb-mdc41w/" TargetMode="External"/><Relationship Id="rId59" Type="http://schemas.openxmlformats.org/officeDocument/2006/relationships/hyperlink" Target="https://hanwhavision.eu/product/xno-9082r/" TargetMode="External"/><Relationship Id="rId58" Type="http://schemas.openxmlformats.org/officeDocument/2006/relationships/hyperlink" Target="https://hanwhavision.eu/product/pnm-12082rvd/" TargetMode="External"/><Relationship Id="rId590" Type="http://schemas.openxmlformats.org/officeDocument/2006/relationships/hyperlink" Target="https://hanwhavision.eu/product/sbp-156kmw/" TargetMode="External"/><Relationship Id="rId107" Type="http://schemas.openxmlformats.org/officeDocument/2006/relationships/hyperlink" Target="https://hanwhavision.eu/product/TNV-C8011RW" TargetMode="External"/><Relationship Id="rId349" Type="http://schemas.openxmlformats.org/officeDocument/2006/relationships/hyperlink" Target="https://hanwhavision.eu/product/xrn-820s/" TargetMode="External"/><Relationship Id="rId106" Type="http://schemas.openxmlformats.org/officeDocument/2006/relationships/hyperlink" Target="https://hanwhavision.eu/product/qnv-c8012/" TargetMode="External"/><Relationship Id="rId348" Type="http://schemas.openxmlformats.org/officeDocument/2006/relationships/hyperlink" Target="https://hanwhavision.eu/product/xrn-820s/" TargetMode="External"/><Relationship Id="rId105" Type="http://schemas.openxmlformats.org/officeDocument/2006/relationships/hyperlink" Target="https://hanwhavision.eu/product/qnv-c8011r/" TargetMode="External"/><Relationship Id="rId347" Type="http://schemas.openxmlformats.org/officeDocument/2006/relationships/hyperlink" Target="https://hanwhavision.eu/product/xrn-820s/" TargetMode="External"/><Relationship Id="rId589" Type="http://schemas.openxmlformats.org/officeDocument/2006/relationships/hyperlink" Target="https://hanwhavision.eu/product/sbe-100pm/" TargetMode="External"/><Relationship Id="rId104" Type="http://schemas.openxmlformats.org/officeDocument/2006/relationships/hyperlink" Target="https://hanwhavision.eu/product/QNV-C8023R" TargetMode="External"/><Relationship Id="rId346" Type="http://schemas.openxmlformats.org/officeDocument/2006/relationships/hyperlink" Target="https://hanwhavision.eu/product/xrn-820s/" TargetMode="External"/><Relationship Id="rId588" Type="http://schemas.openxmlformats.org/officeDocument/2006/relationships/hyperlink" Target="https://hanwhavision.eu/product/sbd-137wma/" TargetMode="External"/><Relationship Id="rId109" Type="http://schemas.openxmlformats.org/officeDocument/2006/relationships/hyperlink" Target="https://hanwhavision.eu/product/TNV-C8034RM" TargetMode="External"/><Relationship Id="rId108" Type="http://schemas.openxmlformats.org/officeDocument/2006/relationships/hyperlink" Target="https://hanwhavision.eu/product/TNV-C8014RM" TargetMode="External"/><Relationship Id="rId341" Type="http://schemas.openxmlformats.org/officeDocument/2006/relationships/hyperlink" Target="https://hanwhavision.eu/product/xrn-1620sb1/" TargetMode="External"/><Relationship Id="rId583" Type="http://schemas.openxmlformats.org/officeDocument/2006/relationships/hyperlink" Target="https://hanwhavision.eu/product/sbd-140pmw/" TargetMode="External"/><Relationship Id="rId340" Type="http://schemas.openxmlformats.org/officeDocument/2006/relationships/hyperlink" Target="https://hanwhavision.eu/product/xrn-1620sb1/" TargetMode="External"/><Relationship Id="rId582" Type="http://schemas.openxmlformats.org/officeDocument/2006/relationships/hyperlink" Target="https://hanwhavision.eu/product/sbd-180pmw/" TargetMode="External"/><Relationship Id="rId581" Type="http://schemas.openxmlformats.org/officeDocument/2006/relationships/hyperlink" Target="https://hanwhavision.eu/product/SBP-050PMW/" TargetMode="External"/><Relationship Id="rId580" Type="http://schemas.openxmlformats.org/officeDocument/2006/relationships/hyperlink" Target="https://hanwhavision.eu/product/SBP-050NBW/" TargetMode="External"/><Relationship Id="rId103" Type="http://schemas.openxmlformats.org/officeDocument/2006/relationships/hyperlink" Target="https://hanwhavision.eu/product/QNV-C8013R" TargetMode="External"/><Relationship Id="rId345" Type="http://schemas.openxmlformats.org/officeDocument/2006/relationships/hyperlink" Target="https://hanwhavision.eu/product/xrn-820s/" TargetMode="External"/><Relationship Id="rId587" Type="http://schemas.openxmlformats.org/officeDocument/2006/relationships/hyperlink" Target="https://hanwhavision.eu/product/sbo-090gp/" TargetMode="External"/><Relationship Id="rId102" Type="http://schemas.openxmlformats.org/officeDocument/2006/relationships/hyperlink" Target="https://hanwhavision.eu/product/qnV-C8083R" TargetMode="External"/><Relationship Id="rId344" Type="http://schemas.openxmlformats.org/officeDocument/2006/relationships/hyperlink" Target="https://hanwhavision.eu/product/xrn-820s/" TargetMode="External"/><Relationship Id="rId586" Type="http://schemas.openxmlformats.org/officeDocument/2006/relationships/hyperlink" Target="https://hanwhavision.eu/product/sbd-110gp1/" TargetMode="External"/><Relationship Id="rId101" Type="http://schemas.openxmlformats.org/officeDocument/2006/relationships/hyperlink" Target="https://hanwhavision.eu/product/QNO-C8023R" TargetMode="External"/><Relationship Id="rId343" Type="http://schemas.openxmlformats.org/officeDocument/2006/relationships/hyperlink" Target="https://hanwhavision.eu/product/xrn-820s/" TargetMode="External"/><Relationship Id="rId585" Type="http://schemas.openxmlformats.org/officeDocument/2006/relationships/hyperlink" Target="https://hanwhavision.eu/product/SBD-140PMB" TargetMode="External"/><Relationship Id="rId100" Type="http://schemas.openxmlformats.org/officeDocument/2006/relationships/hyperlink" Target="https://hanwhavision.eu/product/QNO-C8013R" TargetMode="External"/><Relationship Id="rId342" Type="http://schemas.openxmlformats.org/officeDocument/2006/relationships/hyperlink" Target="https://hanwhavision.eu/product/xrn-1620sb1/" TargetMode="External"/><Relationship Id="rId584" Type="http://schemas.openxmlformats.org/officeDocument/2006/relationships/hyperlink" Target="https://hanwhavision.eu/product/SBD-140KMB" TargetMode="External"/><Relationship Id="rId338" Type="http://schemas.openxmlformats.org/officeDocument/2006/relationships/hyperlink" Target="https://hanwhavision.eu/product/xrn-1620b2/" TargetMode="External"/><Relationship Id="rId337" Type="http://schemas.openxmlformats.org/officeDocument/2006/relationships/hyperlink" Target="https://hanwhavision.eu/product/xrn-1620b2/" TargetMode="External"/><Relationship Id="rId579" Type="http://schemas.openxmlformats.org/officeDocument/2006/relationships/hyperlink" Target="https://hanwhavision.eu/product/SBP-004PBB" TargetMode="External"/><Relationship Id="rId336" Type="http://schemas.openxmlformats.org/officeDocument/2006/relationships/hyperlink" Target="https://hanwhavision.eu/product/xrn-1620b2/" TargetMode="External"/><Relationship Id="rId578" Type="http://schemas.openxmlformats.org/officeDocument/2006/relationships/hyperlink" Target="https://hanwhavision.eu/product/SBP-004PBW" TargetMode="External"/><Relationship Id="rId335" Type="http://schemas.openxmlformats.org/officeDocument/2006/relationships/hyperlink" Target="https://hanwhavision.eu/product/XRN-3220B4" TargetMode="External"/><Relationship Id="rId577" Type="http://schemas.openxmlformats.org/officeDocument/2006/relationships/hyperlink" Target="https://hanwhavision.eu/product/SBP-004WMB" TargetMode="External"/><Relationship Id="rId339" Type="http://schemas.openxmlformats.org/officeDocument/2006/relationships/hyperlink" Target="https://hanwhavision.eu/product/xrn-1620b2/" TargetMode="External"/><Relationship Id="rId330" Type="http://schemas.openxmlformats.org/officeDocument/2006/relationships/hyperlink" Target="https://hanwhavision.eu/product/TNO-L4050T" TargetMode="External"/><Relationship Id="rId572" Type="http://schemas.openxmlformats.org/officeDocument/2006/relationships/hyperlink" Target="https://hanwhavision.eu/product/sbb-300pmw1/" TargetMode="External"/><Relationship Id="rId571" Type="http://schemas.openxmlformats.org/officeDocument/2006/relationships/hyperlink" Target="https://hanwhavision.eu/product/sbp-300pmw2/" TargetMode="External"/><Relationship Id="rId570" Type="http://schemas.openxmlformats.org/officeDocument/2006/relationships/hyperlink" Target="https://hanwhavision.eu/product/sbp-300pm1/" TargetMode="External"/><Relationship Id="rId334" Type="http://schemas.openxmlformats.org/officeDocument/2006/relationships/hyperlink" Target="https://hanwhavision.eu/product/XRN-6420B4" TargetMode="External"/><Relationship Id="rId576" Type="http://schemas.openxmlformats.org/officeDocument/2006/relationships/hyperlink" Target="https://hanwhavision.eu/product/SBP-004WMW" TargetMode="External"/><Relationship Id="rId333" Type="http://schemas.openxmlformats.org/officeDocument/2006/relationships/hyperlink" Target="https://hanwhavision.eu/product/XRN-6420DB4" TargetMode="External"/><Relationship Id="rId575" Type="http://schemas.openxmlformats.org/officeDocument/2006/relationships/hyperlink" Target="https://hanwhavision.eu/product/sbp-303pm/" TargetMode="External"/><Relationship Id="rId332" Type="http://schemas.openxmlformats.org/officeDocument/2006/relationships/hyperlink" Target="https://hanwhavision.eu/product/XRN-426S-2T/" TargetMode="External"/><Relationship Id="rId574" Type="http://schemas.openxmlformats.org/officeDocument/2006/relationships/hyperlink" Target="https://hanwhavision.eu/product/sbp-302pm/" TargetMode="External"/><Relationship Id="rId331" Type="http://schemas.openxmlformats.org/officeDocument/2006/relationships/hyperlink" Target="https://hanwhavision.eu/product/XRN-426S-1T/" TargetMode="External"/><Relationship Id="rId573" Type="http://schemas.openxmlformats.org/officeDocument/2006/relationships/hyperlink" Target="https://hanwhavision.eu/product/sbp-300pms/" TargetMode="External"/><Relationship Id="rId370" Type="http://schemas.openxmlformats.org/officeDocument/2006/relationships/hyperlink" Target="https://hanwhavision.eu/product/SPA-H100W/" TargetMode="External"/><Relationship Id="rId129" Type="http://schemas.openxmlformats.org/officeDocument/2006/relationships/hyperlink" Target="https://hanwhavision.eu/product/QND-8080R/" TargetMode="External"/><Relationship Id="rId128" Type="http://schemas.openxmlformats.org/officeDocument/2006/relationships/hyperlink" Target="https://hanwhavision.eu/product/qno-8010r/" TargetMode="External"/><Relationship Id="rId127" Type="http://schemas.openxmlformats.org/officeDocument/2006/relationships/hyperlink" Target="https://hanwhavision.eu/product/qno-8020r/" TargetMode="External"/><Relationship Id="rId369" Type="http://schemas.openxmlformats.org/officeDocument/2006/relationships/hyperlink" Target="https://hanwhavision.eu/product/SPA-H100B/" TargetMode="External"/><Relationship Id="rId126" Type="http://schemas.openxmlformats.org/officeDocument/2006/relationships/hyperlink" Target="https://hanwhavision.eu/product/qno-8080r/" TargetMode="External"/><Relationship Id="rId368" Type="http://schemas.openxmlformats.org/officeDocument/2006/relationships/hyperlink" Target="https://hanwhavision.eu/product/SPA-W100W/" TargetMode="External"/><Relationship Id="rId121" Type="http://schemas.openxmlformats.org/officeDocument/2006/relationships/hyperlink" Target="https://hanwhavision.eu/product/xnv-8080rsa/" TargetMode="External"/><Relationship Id="rId363" Type="http://schemas.openxmlformats.org/officeDocument/2006/relationships/hyperlink" Target="https://hanwhavision.eu/product/spa-c100b/" TargetMode="External"/><Relationship Id="rId120" Type="http://schemas.openxmlformats.org/officeDocument/2006/relationships/hyperlink" Target="https://hanwhavision.eu/product/xnd-8020f/" TargetMode="External"/><Relationship Id="rId362" Type="http://schemas.openxmlformats.org/officeDocument/2006/relationships/hyperlink" Target="https://hanwhavision.eu/product/spd-152/" TargetMode="External"/><Relationship Id="rId361" Type="http://schemas.openxmlformats.org/officeDocument/2006/relationships/hyperlink" Target="https://hanwhavision.eu/product/spe-1630/" TargetMode="External"/><Relationship Id="rId360" Type="http://schemas.openxmlformats.org/officeDocument/2006/relationships/hyperlink" Target="https://hanwhavision.eu/product/spe-420/" TargetMode="External"/><Relationship Id="rId125" Type="http://schemas.openxmlformats.org/officeDocument/2006/relationships/hyperlink" Target="https://hanwhavision.eu/product/xnv-8040r/" TargetMode="External"/><Relationship Id="rId367" Type="http://schemas.openxmlformats.org/officeDocument/2006/relationships/hyperlink" Target="https://hanwhavision.eu/product/SPA-W100B/" TargetMode="External"/><Relationship Id="rId124" Type="http://schemas.openxmlformats.org/officeDocument/2006/relationships/hyperlink" Target="https://hanwhavision.eu/product/xnv-8030r/" TargetMode="External"/><Relationship Id="rId366" Type="http://schemas.openxmlformats.org/officeDocument/2006/relationships/hyperlink" Target="https://hanwhavision.eu/product/SPA-P100W/" TargetMode="External"/><Relationship Id="rId123" Type="http://schemas.openxmlformats.org/officeDocument/2006/relationships/hyperlink" Target="https://hanwhavision.eu/product/xnv-8020r/" TargetMode="External"/><Relationship Id="rId365" Type="http://schemas.openxmlformats.org/officeDocument/2006/relationships/hyperlink" Target="https://hanwhavision.eu/product/SPA-P100B/" TargetMode="External"/><Relationship Id="rId122" Type="http://schemas.openxmlformats.org/officeDocument/2006/relationships/hyperlink" Target="https://hanwhavision.eu/product/xnv-8080r/" TargetMode="External"/><Relationship Id="rId364" Type="http://schemas.openxmlformats.org/officeDocument/2006/relationships/hyperlink" Target="https://hanwhavision.eu/product/SPA-C100W/" TargetMode="External"/><Relationship Id="rId95" Type="http://schemas.openxmlformats.org/officeDocument/2006/relationships/hyperlink" Target="https://hanwhavision.eu/product/XNV-A8084R" TargetMode="External"/><Relationship Id="rId94" Type="http://schemas.openxmlformats.org/officeDocument/2006/relationships/hyperlink" Target="https://hanwhavision.eu/product/XNO-A8084R" TargetMode="External"/><Relationship Id="rId97" Type="http://schemas.openxmlformats.org/officeDocument/2006/relationships/hyperlink" Target="https://hanwhavision.eu/product/QND-C8013R" TargetMode="External"/><Relationship Id="rId96" Type="http://schemas.openxmlformats.org/officeDocument/2006/relationships/hyperlink" Target="https://hanwhavision.eu/product/QNE-C8013RL" TargetMode="External"/><Relationship Id="rId99" Type="http://schemas.openxmlformats.org/officeDocument/2006/relationships/hyperlink" Target="https://hanwhavision.eu/product/QNO-C8083R" TargetMode="External"/><Relationship Id="rId98" Type="http://schemas.openxmlformats.org/officeDocument/2006/relationships/hyperlink" Target="https://hanwhavision.eu/product/QND-C8023R" TargetMode="External"/><Relationship Id="rId91" Type="http://schemas.openxmlformats.org/officeDocument/2006/relationships/hyperlink" Target="https://hanwhavision.eu/product/pnm-8082vt/" TargetMode="External"/><Relationship Id="rId90" Type="http://schemas.openxmlformats.org/officeDocument/2006/relationships/hyperlink" Target="https://hanwhavision.eu/product/xnp-8250r/" TargetMode="External"/><Relationship Id="rId93" Type="http://schemas.openxmlformats.org/officeDocument/2006/relationships/hyperlink" Target="https://hanwhavision.eu/product/XND-A8084RV" TargetMode="External"/><Relationship Id="rId92" Type="http://schemas.openxmlformats.org/officeDocument/2006/relationships/hyperlink" Target="https://hanwhavision.eu/product/qnf-8010/" TargetMode="External"/><Relationship Id="rId118" Type="http://schemas.openxmlformats.org/officeDocument/2006/relationships/hyperlink" Target="https://hanwhavision.eu/product/XND-8030R" TargetMode="External"/><Relationship Id="rId117" Type="http://schemas.openxmlformats.org/officeDocument/2006/relationships/hyperlink" Target="https://hanwhavision.eu/product/xnd-8020r/" TargetMode="External"/><Relationship Id="rId359" Type="http://schemas.openxmlformats.org/officeDocument/2006/relationships/hyperlink" Target="https://hanwhavision.eu/product/ARN-1610S/" TargetMode="External"/><Relationship Id="rId116" Type="http://schemas.openxmlformats.org/officeDocument/2006/relationships/hyperlink" Target="https://hanwhavision.eu/product/xnd-8080r/" TargetMode="External"/><Relationship Id="rId358" Type="http://schemas.openxmlformats.org/officeDocument/2006/relationships/hyperlink" Target="https://hanwhavision.eu/product/ARN-810S/" TargetMode="External"/><Relationship Id="rId115" Type="http://schemas.openxmlformats.org/officeDocument/2006/relationships/hyperlink" Target="https://hanwhavision.eu/product/xnd-8080rv/" TargetMode="External"/><Relationship Id="rId357" Type="http://schemas.openxmlformats.org/officeDocument/2006/relationships/hyperlink" Target="https://hanwhavision.eu/product/ARN-410S/" TargetMode="External"/><Relationship Id="rId599" Type="http://schemas.openxmlformats.org/officeDocument/2006/relationships/hyperlink" Target="https://hanwhavision.eu/product/sbp-900cmw/" TargetMode="External"/><Relationship Id="rId119" Type="http://schemas.openxmlformats.org/officeDocument/2006/relationships/hyperlink" Target="https://hanwhavision.eu/product/xnd-8040r/" TargetMode="External"/><Relationship Id="rId110" Type="http://schemas.openxmlformats.org/officeDocument/2006/relationships/hyperlink" Target="https://hanwhavision.eu/product/XNV-8081Z/" TargetMode="External"/><Relationship Id="rId352" Type="http://schemas.openxmlformats.org/officeDocument/2006/relationships/hyperlink" Target="https://hanwhavision.eu/product/qrn-430s/" TargetMode="External"/><Relationship Id="rId594" Type="http://schemas.openxmlformats.org/officeDocument/2006/relationships/hyperlink" Target="https://hanwhavision.eu/product/sbp-156cmw/" TargetMode="External"/><Relationship Id="rId351" Type="http://schemas.openxmlformats.org/officeDocument/2006/relationships/hyperlink" Target="https://hanwhavision.eu/product/qrn-430s/" TargetMode="External"/><Relationship Id="rId593" Type="http://schemas.openxmlformats.org/officeDocument/2006/relationships/hyperlink" Target="https://hanwhavision.eu/product/sbp-300kms/" TargetMode="External"/><Relationship Id="rId350" Type="http://schemas.openxmlformats.org/officeDocument/2006/relationships/hyperlink" Target="https://hanwhavision.eu/product/xrn-420s/" TargetMode="External"/><Relationship Id="rId592" Type="http://schemas.openxmlformats.org/officeDocument/2006/relationships/hyperlink" Target="https://www.hanwha-security.eu/?s=SBP-300KMW1" TargetMode="External"/><Relationship Id="rId591" Type="http://schemas.openxmlformats.org/officeDocument/2006/relationships/hyperlink" Target="https://hanwhavision.eu/product/sbp-300km1/" TargetMode="External"/><Relationship Id="rId114" Type="http://schemas.openxmlformats.org/officeDocument/2006/relationships/hyperlink" Target="https://hanwhavision.eu/product/xno-8040r/" TargetMode="External"/><Relationship Id="rId356" Type="http://schemas.openxmlformats.org/officeDocument/2006/relationships/hyperlink" Target="https://hanwhavision.eu/product/qrn-1630s/" TargetMode="External"/><Relationship Id="rId598" Type="http://schemas.openxmlformats.org/officeDocument/2006/relationships/hyperlink" Target="https://hanwhavision.eu/product/sbp-300cmw1/" TargetMode="External"/><Relationship Id="rId113" Type="http://schemas.openxmlformats.org/officeDocument/2006/relationships/hyperlink" Target="https://hanwhavision.eu/product/xno-8030r/" TargetMode="External"/><Relationship Id="rId355" Type="http://schemas.openxmlformats.org/officeDocument/2006/relationships/hyperlink" Target="https://hanwhavision.eu/product/qrn-1630s/" TargetMode="External"/><Relationship Id="rId597" Type="http://schemas.openxmlformats.org/officeDocument/2006/relationships/hyperlink" Target="https://hanwhavision.eu/product/sbp-300cmw/" TargetMode="External"/><Relationship Id="rId112" Type="http://schemas.openxmlformats.org/officeDocument/2006/relationships/hyperlink" Target="https://hanwhavision.eu/product/xno-8020r/" TargetMode="External"/><Relationship Id="rId354" Type="http://schemas.openxmlformats.org/officeDocument/2006/relationships/hyperlink" Target="https://hanwhavision.eu/product/qrn-830s/" TargetMode="External"/><Relationship Id="rId596" Type="http://schemas.openxmlformats.org/officeDocument/2006/relationships/hyperlink" Target="https://hanwhavision.eu/product/sbp-300cm/" TargetMode="External"/><Relationship Id="rId111" Type="http://schemas.openxmlformats.org/officeDocument/2006/relationships/hyperlink" Target="https://hanwhavision.eu/product/xno-8080r/" TargetMode="External"/><Relationship Id="rId353" Type="http://schemas.openxmlformats.org/officeDocument/2006/relationships/hyperlink" Target="https://hanwhavision.eu/product/qrn-830s/" TargetMode="External"/><Relationship Id="rId595" Type="http://schemas.openxmlformats.org/officeDocument/2006/relationships/hyperlink" Target="https://hanwhavision.eu/product/sbp-302cmbw/" TargetMode="External"/><Relationship Id="rId305" Type="http://schemas.openxmlformats.org/officeDocument/2006/relationships/hyperlink" Target="https://hanwhavision.eu/product/TNM-C4940TDR/" TargetMode="External"/><Relationship Id="rId547" Type="http://schemas.openxmlformats.org/officeDocument/2006/relationships/hyperlink" Target="https://hanwhavision.eu/product/sbp-156wa/" TargetMode="External"/><Relationship Id="rId789" Type="http://schemas.openxmlformats.org/officeDocument/2006/relationships/hyperlink" Target="https://hanwhavision.eu/product/wisenet-wave/" TargetMode="External"/><Relationship Id="rId304" Type="http://schemas.openxmlformats.org/officeDocument/2006/relationships/hyperlink" Target="https://hanwhavision.eu/product/TNM-C4942TDR" TargetMode="External"/><Relationship Id="rId546" Type="http://schemas.openxmlformats.org/officeDocument/2006/relationships/hyperlink" Target="https://hanwhavision.eu/product/SBD-150GP" TargetMode="External"/><Relationship Id="rId788" Type="http://schemas.openxmlformats.org/officeDocument/2006/relationships/hyperlink" Target="https://hanwhavision.eu/product/wisenet-wave/" TargetMode="External"/><Relationship Id="rId303" Type="http://schemas.openxmlformats.org/officeDocument/2006/relationships/hyperlink" Target="https://hanwhavision.eu/product/tnm-c4940td/" TargetMode="External"/><Relationship Id="rId545" Type="http://schemas.openxmlformats.org/officeDocument/2006/relationships/hyperlink" Target="https://hanwhavision.eu/product/SBD-110GPA" TargetMode="External"/><Relationship Id="rId787" Type="http://schemas.openxmlformats.org/officeDocument/2006/relationships/hyperlink" Target="https://hanwhavision.eu/technology/ssm/" TargetMode="External"/><Relationship Id="rId302" Type="http://schemas.openxmlformats.org/officeDocument/2006/relationships/hyperlink" Target="https://hanwhavision.eu/product/tnm-c4950td/" TargetMode="External"/><Relationship Id="rId544" Type="http://schemas.openxmlformats.org/officeDocument/2006/relationships/hyperlink" Target="https://hanwhavision.eu/product/sbp-187wmw/" TargetMode="External"/><Relationship Id="rId786" Type="http://schemas.openxmlformats.org/officeDocument/2006/relationships/hyperlink" Target="https://hanwhavision.eu/technology/ssm/" TargetMode="External"/><Relationship Id="rId309" Type="http://schemas.openxmlformats.org/officeDocument/2006/relationships/hyperlink" Target="https://hanwhavision.eu/product/TNM-C2712TDR" TargetMode="External"/><Relationship Id="rId308" Type="http://schemas.openxmlformats.org/officeDocument/2006/relationships/hyperlink" Target="https://hanwhavision.eu/product/TNM-C2722TDR" TargetMode="External"/><Relationship Id="rId307" Type="http://schemas.openxmlformats.org/officeDocument/2006/relationships/hyperlink" Target="https://hanwhavision.eu/product/TNM-C3620TDR" TargetMode="External"/><Relationship Id="rId549" Type="http://schemas.openxmlformats.org/officeDocument/2006/relationships/hyperlink" Target="https://hanwhavision.eu/product/SBP-060BA/" TargetMode="External"/><Relationship Id="rId306" Type="http://schemas.openxmlformats.org/officeDocument/2006/relationships/hyperlink" Target="https://hanwhavision.eu/product/TNM-C3622TDR" TargetMode="External"/><Relationship Id="rId548" Type="http://schemas.openxmlformats.org/officeDocument/2006/relationships/hyperlink" Target="https://hanwhavision.eu/product/sbp-060s/" TargetMode="External"/><Relationship Id="rId781" Type="http://schemas.openxmlformats.org/officeDocument/2006/relationships/hyperlink" Target="https://hanwhavision.eu/technology/ssm/" TargetMode="External"/><Relationship Id="rId780" Type="http://schemas.openxmlformats.org/officeDocument/2006/relationships/hyperlink" Target="https://hanwhavision.eu/technology/ssm/" TargetMode="External"/><Relationship Id="rId301" Type="http://schemas.openxmlformats.org/officeDocument/2006/relationships/hyperlink" Target="https://hanwhavision.eu/product/tnm-c4960td/" TargetMode="External"/><Relationship Id="rId543" Type="http://schemas.openxmlformats.org/officeDocument/2006/relationships/hyperlink" Target="https://hanwhavision.eu/product/sbp-156wmw/" TargetMode="External"/><Relationship Id="rId785" Type="http://schemas.openxmlformats.org/officeDocument/2006/relationships/hyperlink" Target="https://hanwhavision.eu/technology/ssm/" TargetMode="External"/><Relationship Id="rId300" Type="http://schemas.openxmlformats.org/officeDocument/2006/relationships/hyperlink" Target="https://hanwhavision.eu/product/TNO-C3042T/" TargetMode="External"/><Relationship Id="rId542" Type="http://schemas.openxmlformats.org/officeDocument/2006/relationships/hyperlink" Target="https://hanwhavision.eu/product/sbp-137wmw1/" TargetMode="External"/><Relationship Id="rId784" Type="http://schemas.openxmlformats.org/officeDocument/2006/relationships/hyperlink" Target="https://hanwhavision.eu/technology/ssm/" TargetMode="External"/><Relationship Id="rId541" Type="http://schemas.openxmlformats.org/officeDocument/2006/relationships/hyperlink" Target="https://hanwhavision.eu/product/sbp-137wm1/" TargetMode="External"/><Relationship Id="rId783" Type="http://schemas.openxmlformats.org/officeDocument/2006/relationships/hyperlink" Target="https://hanwhavision.eu/technology/ssm/" TargetMode="External"/><Relationship Id="rId540" Type="http://schemas.openxmlformats.org/officeDocument/2006/relationships/hyperlink" Target="https://hanwhavision.eu/product/sbp-137wmw/" TargetMode="External"/><Relationship Id="rId782" Type="http://schemas.openxmlformats.org/officeDocument/2006/relationships/hyperlink" Target="https://hanwhavision.eu/technology/ssm/" TargetMode="External"/><Relationship Id="rId536" Type="http://schemas.openxmlformats.org/officeDocument/2006/relationships/hyperlink" Target="https://hanwhavision.eu/product/sbp-120wm/" TargetMode="External"/><Relationship Id="rId778" Type="http://schemas.openxmlformats.org/officeDocument/2006/relationships/hyperlink" Target="https://hanwhavision.eu/technology/ssm/" TargetMode="External"/><Relationship Id="rId535" Type="http://schemas.openxmlformats.org/officeDocument/2006/relationships/hyperlink" Target="https://hanwhavision.eu/product/SBP-315C" TargetMode="External"/><Relationship Id="rId777" Type="http://schemas.openxmlformats.org/officeDocument/2006/relationships/hyperlink" Target="https://hanwhavision.eu/technology/ssm/" TargetMode="External"/><Relationship Id="rId534" Type="http://schemas.openxmlformats.org/officeDocument/2006/relationships/hyperlink" Target="https://hanwhavision.eu/product/SBP-250C" TargetMode="External"/><Relationship Id="rId776" Type="http://schemas.openxmlformats.org/officeDocument/2006/relationships/hyperlink" Target="https://hanwhavision.eu/technology/ssm/" TargetMode="External"/><Relationship Id="rId533" Type="http://schemas.openxmlformats.org/officeDocument/2006/relationships/hyperlink" Target="https://hanwhavision.eu/product/SBP-200C" TargetMode="External"/><Relationship Id="rId775" Type="http://schemas.openxmlformats.org/officeDocument/2006/relationships/hyperlink" Target="https://hanwhavision.eu/technology/ssm/" TargetMode="External"/><Relationship Id="rId539" Type="http://schemas.openxmlformats.org/officeDocument/2006/relationships/hyperlink" Target="https://hanwhavision.eu/product/sbp-137wm/" TargetMode="External"/><Relationship Id="rId538" Type="http://schemas.openxmlformats.org/officeDocument/2006/relationships/hyperlink" Target="https://hanwhavision.eu/product/sbp-125wmw1/" TargetMode="External"/><Relationship Id="rId537" Type="http://schemas.openxmlformats.org/officeDocument/2006/relationships/hyperlink" Target="https://hanwhavision.eu/product/sbp-120wmw/" TargetMode="External"/><Relationship Id="rId779" Type="http://schemas.openxmlformats.org/officeDocument/2006/relationships/hyperlink" Target="https://hanwhavision.eu/technology/ssm/" TargetMode="External"/><Relationship Id="rId770" Type="http://schemas.openxmlformats.org/officeDocument/2006/relationships/hyperlink" Target="https://hanwhavision.eu/technology/AIA-C01RET" TargetMode="External"/><Relationship Id="rId532" Type="http://schemas.openxmlformats.org/officeDocument/2006/relationships/hyperlink" Target="https://hanwhavision.eu/product/SBP-315HMW/" TargetMode="External"/><Relationship Id="rId774" Type="http://schemas.openxmlformats.org/officeDocument/2006/relationships/hyperlink" Target="https://hanwhavision.eu/technology/ssm/" TargetMode="External"/><Relationship Id="rId531" Type="http://schemas.openxmlformats.org/officeDocument/2006/relationships/hyperlink" Target="https://hanwhavision.eu/product/sbp-301hm5/" TargetMode="External"/><Relationship Id="rId773" Type="http://schemas.openxmlformats.org/officeDocument/2006/relationships/hyperlink" Target="https://hanwhavision.eu/technology/ssm/" TargetMode="External"/><Relationship Id="rId530" Type="http://schemas.openxmlformats.org/officeDocument/2006/relationships/hyperlink" Target="https://hanwhavision.eu/product/sbp-301hmw2/" TargetMode="External"/><Relationship Id="rId772" Type="http://schemas.openxmlformats.org/officeDocument/2006/relationships/hyperlink" Target="https://hanwhavision.eu/technology/ssm/" TargetMode="External"/><Relationship Id="rId771" Type="http://schemas.openxmlformats.org/officeDocument/2006/relationships/hyperlink" Target="https://hanwhavision.eu/technology/AIA-C01TRF" TargetMode="External"/><Relationship Id="rId327" Type="http://schemas.openxmlformats.org/officeDocument/2006/relationships/hyperlink" Target="https://hanwhavision.eu/product/tno-l4030tr/" TargetMode="External"/><Relationship Id="rId569" Type="http://schemas.openxmlformats.org/officeDocument/2006/relationships/hyperlink" Target="https://hanwhavision.eu/product/sbp-300lmw/" TargetMode="External"/><Relationship Id="rId326" Type="http://schemas.openxmlformats.org/officeDocument/2006/relationships/hyperlink" Target="https://hanwhavision.eu/product/tno-4041t/" TargetMode="External"/><Relationship Id="rId568" Type="http://schemas.openxmlformats.org/officeDocument/2006/relationships/hyperlink" Target="https://hanwhavision.eu/product/sbp-300lm/" TargetMode="External"/><Relationship Id="rId325" Type="http://schemas.openxmlformats.org/officeDocument/2006/relationships/hyperlink" Target="https://hanwhavision.eu/product/tno-4051t/" TargetMode="External"/><Relationship Id="rId567" Type="http://schemas.openxmlformats.org/officeDocument/2006/relationships/hyperlink" Target="https://hanwhavision.eu/product/sbp-156lmw1/" TargetMode="External"/><Relationship Id="rId324" Type="http://schemas.openxmlformats.org/officeDocument/2006/relationships/hyperlink" Target="https://hanwhavision.eu/product/tno-4041tr/" TargetMode="External"/><Relationship Id="rId566" Type="http://schemas.openxmlformats.org/officeDocument/2006/relationships/hyperlink" Target="https://hanwhavision.eu/product/sbp-156lmw/" TargetMode="External"/><Relationship Id="rId329" Type="http://schemas.openxmlformats.org/officeDocument/2006/relationships/hyperlink" Target="https://hanwhavision.eu/product/TNO-L4040T/" TargetMode="External"/><Relationship Id="rId328" Type="http://schemas.openxmlformats.org/officeDocument/2006/relationships/hyperlink" Target="https://hanwhavision.eu/product/TNO-L4040TR/" TargetMode="External"/><Relationship Id="rId561" Type="http://schemas.openxmlformats.org/officeDocument/2006/relationships/hyperlink" Target="https://hanwhavision.eu/product/sbu-500wm/" TargetMode="External"/><Relationship Id="rId560" Type="http://schemas.openxmlformats.org/officeDocument/2006/relationships/hyperlink" Target="https://hanwhavision.eu/product/SBU-500PM" TargetMode="External"/><Relationship Id="rId323" Type="http://schemas.openxmlformats.org/officeDocument/2006/relationships/hyperlink" Target="https://hanwhavision.eu/product/tnu-4041t/" TargetMode="External"/><Relationship Id="rId565" Type="http://schemas.openxmlformats.org/officeDocument/2006/relationships/hyperlink" Target="https://hanwhavision.eu/product/sbp-300bw1/" TargetMode="External"/><Relationship Id="rId322" Type="http://schemas.openxmlformats.org/officeDocument/2006/relationships/hyperlink" Target="https://hanwhavision.eu/product/tnu-4051t/" TargetMode="External"/><Relationship Id="rId564" Type="http://schemas.openxmlformats.org/officeDocument/2006/relationships/hyperlink" Target="https://hanwhavision.eu/product/sbp-300b/" TargetMode="External"/><Relationship Id="rId321" Type="http://schemas.openxmlformats.org/officeDocument/2006/relationships/hyperlink" Target="https://hanwhavision.eu/product/tno-4030tr/" TargetMode="External"/><Relationship Id="rId563" Type="http://schemas.openxmlformats.org/officeDocument/2006/relationships/hyperlink" Target="https://hanwhavision.eu/product/sbp-300nbw/" TargetMode="External"/><Relationship Id="rId320" Type="http://schemas.openxmlformats.org/officeDocument/2006/relationships/hyperlink" Target="https://hanwhavision.eu/product/tno-4040tr/" TargetMode="External"/><Relationship Id="rId562" Type="http://schemas.openxmlformats.org/officeDocument/2006/relationships/hyperlink" Target="https://hanwhavision.eu/product/sbp-300nb/" TargetMode="External"/><Relationship Id="rId316" Type="http://schemas.openxmlformats.org/officeDocument/2006/relationships/hyperlink" Target="https://hanwhavision.eu/product/tno-3040t/" TargetMode="External"/><Relationship Id="rId558" Type="http://schemas.openxmlformats.org/officeDocument/2006/relationships/hyperlink" Target="https://hanwhavision.eu/product/sbp-390wm2/" TargetMode="External"/><Relationship Id="rId315" Type="http://schemas.openxmlformats.org/officeDocument/2006/relationships/hyperlink" Target="https://hanwhavision.eu/product/tno-3030t/" TargetMode="External"/><Relationship Id="rId557" Type="http://schemas.openxmlformats.org/officeDocument/2006/relationships/hyperlink" Target="https://hanwhavision.eu/product/sbp-300wms1/" TargetMode="External"/><Relationship Id="rId799" Type="http://schemas.openxmlformats.org/officeDocument/2006/relationships/hyperlink" Target="https://hanwhavision.eu/product/wrn-2010s/" TargetMode="External"/><Relationship Id="rId314" Type="http://schemas.openxmlformats.org/officeDocument/2006/relationships/hyperlink" Target="https://hanwhavision.eu/product/tno-3020t/" TargetMode="External"/><Relationship Id="rId556" Type="http://schemas.openxmlformats.org/officeDocument/2006/relationships/hyperlink" Target="https://hanwhavision.eu/product/sbp-300wmw1/" TargetMode="External"/><Relationship Id="rId798" Type="http://schemas.openxmlformats.org/officeDocument/2006/relationships/hyperlink" Target="https://hanwhavision.eu/product/wrn-2010s/" TargetMode="External"/><Relationship Id="rId313" Type="http://schemas.openxmlformats.org/officeDocument/2006/relationships/hyperlink" Target="https://hanwhavision.eu/product/TNO-3010T" TargetMode="External"/><Relationship Id="rId555" Type="http://schemas.openxmlformats.org/officeDocument/2006/relationships/hyperlink" Target="https://hanwhavision.eu/product/sbp-300wm1/" TargetMode="External"/><Relationship Id="rId797" Type="http://schemas.openxmlformats.org/officeDocument/2006/relationships/hyperlink" Target="https://hanwhavision.eu/product/wisenet-wave/" TargetMode="External"/><Relationship Id="rId319" Type="http://schemas.openxmlformats.org/officeDocument/2006/relationships/hyperlink" Target="https://hanwhavision.eu/product/tno-l4030t/" TargetMode="External"/><Relationship Id="rId318" Type="http://schemas.openxmlformats.org/officeDocument/2006/relationships/hyperlink" Target="https://hanwhavision.eu/product/tno-l3030t/" TargetMode="External"/><Relationship Id="rId317" Type="http://schemas.openxmlformats.org/officeDocument/2006/relationships/hyperlink" Target="https://hanwhavision.eu/product/tno-3050t/" TargetMode="External"/><Relationship Id="rId559" Type="http://schemas.openxmlformats.org/officeDocument/2006/relationships/hyperlink" Target="https://hanwhavision.eu/product/SBP-400WMW/" TargetMode="External"/><Relationship Id="rId550" Type="http://schemas.openxmlformats.org/officeDocument/2006/relationships/hyperlink" Target="https://hanwhavision.eu/product/sbp-150s/" TargetMode="External"/><Relationship Id="rId792" Type="http://schemas.openxmlformats.org/officeDocument/2006/relationships/hyperlink" Target="https://hanwhavision.eu/product/wisenet-wave/" TargetMode="External"/><Relationship Id="rId791" Type="http://schemas.openxmlformats.org/officeDocument/2006/relationships/hyperlink" Target="https://hanwhavision.eu/product/wisenet-wave/" TargetMode="External"/><Relationship Id="rId790" Type="http://schemas.openxmlformats.org/officeDocument/2006/relationships/hyperlink" Target="https://hanwhavision.eu/product/wisenet-wave/" TargetMode="External"/><Relationship Id="rId312" Type="http://schemas.openxmlformats.org/officeDocument/2006/relationships/hyperlink" Target="https://hanwhavision.eu/product/tno-4030t/" TargetMode="External"/><Relationship Id="rId554" Type="http://schemas.openxmlformats.org/officeDocument/2006/relationships/hyperlink" Target="https://hanwhavision.eu/product/sbp-300wms/" TargetMode="External"/><Relationship Id="rId796" Type="http://schemas.openxmlformats.org/officeDocument/2006/relationships/hyperlink" Target="https://hanwhavision.eu/product/wisenet-wave/" TargetMode="External"/><Relationship Id="rId311" Type="http://schemas.openxmlformats.org/officeDocument/2006/relationships/hyperlink" Target="https://hanwhavision.eu/product/tno-4040t/" TargetMode="External"/><Relationship Id="rId553" Type="http://schemas.openxmlformats.org/officeDocument/2006/relationships/hyperlink" Target="https://hanwhavision.eu/product/sbp-300wmw/" TargetMode="External"/><Relationship Id="rId795" Type="http://schemas.openxmlformats.org/officeDocument/2006/relationships/hyperlink" Target="https://hanwhavision.eu/product/wisenet-wave/" TargetMode="External"/><Relationship Id="rId310" Type="http://schemas.openxmlformats.org/officeDocument/2006/relationships/hyperlink" Target="https://hanwhavision.eu/product/tno-4050t/" TargetMode="External"/><Relationship Id="rId552" Type="http://schemas.openxmlformats.org/officeDocument/2006/relationships/hyperlink" Target="https://hanwhavision.eu/product/sbp-300wm/" TargetMode="External"/><Relationship Id="rId794" Type="http://schemas.openxmlformats.org/officeDocument/2006/relationships/hyperlink" Target="https://hanwhavision.eu/product/wisenet-wave/" TargetMode="External"/><Relationship Id="rId551" Type="http://schemas.openxmlformats.org/officeDocument/2006/relationships/hyperlink" Target="https://hanwhavision.eu/product/sbe-100wm/" TargetMode="External"/><Relationship Id="rId793" Type="http://schemas.openxmlformats.org/officeDocument/2006/relationships/hyperlink" Target="https://hanwhavision.eu/product/wisenet-wave/" TargetMode="External"/><Relationship Id="rId297" Type="http://schemas.openxmlformats.org/officeDocument/2006/relationships/hyperlink" Target="https://hanwhavision.eu/product/TNO-C3082T/" TargetMode="External"/><Relationship Id="rId296" Type="http://schemas.openxmlformats.org/officeDocument/2006/relationships/hyperlink" Target="https://hanwhavision.eu/product/TNO-C3040T/" TargetMode="External"/><Relationship Id="rId295" Type="http://schemas.openxmlformats.org/officeDocument/2006/relationships/hyperlink" Target="https://hanwhavision.eu/product/TNO-C3050T/" TargetMode="External"/><Relationship Id="rId294" Type="http://schemas.openxmlformats.org/officeDocument/2006/relationships/hyperlink" Target="https://hanwhavision.eu/product/TNO-C3060T/" TargetMode="External"/><Relationship Id="rId299" Type="http://schemas.openxmlformats.org/officeDocument/2006/relationships/hyperlink" Target="https://hanwhavision.eu/product/TNO-C3052T/" TargetMode="External"/><Relationship Id="rId298" Type="http://schemas.openxmlformats.org/officeDocument/2006/relationships/hyperlink" Target="https://hanwhavision.eu/product/TNO-C3062T/" TargetMode="External"/><Relationship Id="rId271" Type="http://schemas.openxmlformats.org/officeDocument/2006/relationships/hyperlink" Target="https://hanwhavision.eu/product/tnb-6030/" TargetMode="External"/><Relationship Id="rId270" Type="http://schemas.openxmlformats.org/officeDocument/2006/relationships/hyperlink" Target="https://hanwhavision.eu/product/tnu-6321/" TargetMode="External"/><Relationship Id="rId269" Type="http://schemas.openxmlformats.org/officeDocument/2006/relationships/hyperlink" Target="https://hanwhavision.eu/product/tid-600r/" TargetMode="External"/><Relationship Id="rId264" Type="http://schemas.openxmlformats.org/officeDocument/2006/relationships/hyperlink" Target="https://hanwhavision.eu/product/qnp-6250/" TargetMode="External"/><Relationship Id="rId263" Type="http://schemas.openxmlformats.org/officeDocument/2006/relationships/hyperlink" Target="https://hanwhavision.eu/product/qnp-6320h/" TargetMode="External"/><Relationship Id="rId262" Type="http://schemas.openxmlformats.org/officeDocument/2006/relationships/hyperlink" Target="https://hanwhavision.eu/product/qnp-6320r/" TargetMode="External"/><Relationship Id="rId261" Type="http://schemas.openxmlformats.org/officeDocument/2006/relationships/hyperlink" Target="https://hanwhavision.eu/product/qnp-6320/" TargetMode="External"/><Relationship Id="rId268" Type="http://schemas.openxmlformats.org/officeDocument/2006/relationships/hyperlink" Target="https://hanwhavision.eu/product/xnb-h6461h/" TargetMode="External"/><Relationship Id="rId267" Type="http://schemas.openxmlformats.org/officeDocument/2006/relationships/hyperlink" Target="https://hanwhavision.eu/product/qnp-6320hs/" TargetMode="External"/><Relationship Id="rId266" Type="http://schemas.openxmlformats.org/officeDocument/2006/relationships/hyperlink" Target="https://hanwhavision.eu/product/qnp-6250h/" TargetMode="External"/><Relationship Id="rId265" Type="http://schemas.openxmlformats.org/officeDocument/2006/relationships/hyperlink" Target="https://hanwhavision.eu/product/qnp-6250r/" TargetMode="External"/><Relationship Id="rId260" Type="http://schemas.openxmlformats.org/officeDocument/2006/relationships/hyperlink" Target="https://hanwhavision.eu/product/qnv-6024rm/" TargetMode="External"/><Relationship Id="rId259" Type="http://schemas.openxmlformats.org/officeDocument/2006/relationships/hyperlink" Target="https://hanwhavision.eu/product/QNV-6012R1" TargetMode="External"/><Relationship Id="rId258" Type="http://schemas.openxmlformats.org/officeDocument/2006/relationships/hyperlink" Target="https://hanwhavision.eu/product/qnv-6012r/" TargetMode="External"/><Relationship Id="rId253" Type="http://schemas.openxmlformats.org/officeDocument/2006/relationships/hyperlink" Target="https://hanwhavision.eu/product/qnv-6082r/" TargetMode="External"/><Relationship Id="rId495" Type="http://schemas.openxmlformats.org/officeDocument/2006/relationships/hyperlink" Target="https://hanwhavision.eu/product/sbc-160bf/" TargetMode="External"/><Relationship Id="rId252" Type="http://schemas.openxmlformats.org/officeDocument/2006/relationships/hyperlink" Target="https://hanwhavision.eu/product/qnd-6011/" TargetMode="External"/><Relationship Id="rId494" Type="http://schemas.openxmlformats.org/officeDocument/2006/relationships/hyperlink" Target="https://hanwhavision.eu/product/sbc-160b/" TargetMode="External"/><Relationship Id="rId251" Type="http://schemas.openxmlformats.org/officeDocument/2006/relationships/hyperlink" Target="https://hanwhavision.eu/product/qnd-6021/" TargetMode="External"/><Relationship Id="rId493" Type="http://schemas.openxmlformats.org/officeDocument/2006/relationships/hyperlink" Target="https://hanwhavision.eu/product/shs-165f/" TargetMode="External"/><Relationship Id="rId250" Type="http://schemas.openxmlformats.org/officeDocument/2006/relationships/hyperlink" Target="https://hanwhavision.eu/product/qnd-6012r1/" TargetMode="External"/><Relationship Id="rId492" Type="http://schemas.openxmlformats.org/officeDocument/2006/relationships/hyperlink" Target="https://hanwhavision.eu/product/sbs-165tm/" TargetMode="External"/><Relationship Id="rId257" Type="http://schemas.openxmlformats.org/officeDocument/2006/relationships/hyperlink" Target="https://hanwhavision.eu/product/qnv-6022r1/" TargetMode="External"/><Relationship Id="rId499" Type="http://schemas.openxmlformats.org/officeDocument/2006/relationships/hyperlink" Target="https://hanwhavision.eu/product/sbl-100d/" TargetMode="External"/><Relationship Id="rId256" Type="http://schemas.openxmlformats.org/officeDocument/2006/relationships/hyperlink" Target="https://hanwhavision.eu/product/qnv-6022r/" TargetMode="External"/><Relationship Id="rId498" Type="http://schemas.openxmlformats.org/officeDocument/2006/relationships/hyperlink" Target="https://hanwhavision.eu/product/sbl-101c/" TargetMode="External"/><Relationship Id="rId255" Type="http://schemas.openxmlformats.org/officeDocument/2006/relationships/hyperlink" Target="https://hanwhavision.eu/product/qnv-6023r/" TargetMode="External"/><Relationship Id="rId497" Type="http://schemas.openxmlformats.org/officeDocument/2006/relationships/hyperlink" Target="https://hanwhavision.eu/product/sbc-180b/" TargetMode="External"/><Relationship Id="rId254" Type="http://schemas.openxmlformats.org/officeDocument/2006/relationships/hyperlink" Target="https://hanwhavision.eu/product/qnv-6082r1/" TargetMode="External"/><Relationship Id="rId496" Type="http://schemas.openxmlformats.org/officeDocument/2006/relationships/hyperlink" Target="https://hanwhavision.eu/product/sbc-180b/" TargetMode="External"/><Relationship Id="rId293" Type="http://schemas.openxmlformats.org/officeDocument/2006/relationships/hyperlink" Target="https://hanwhavision.eu/product/TNO-C3080T/" TargetMode="External"/><Relationship Id="rId292" Type="http://schemas.openxmlformats.org/officeDocument/2006/relationships/hyperlink" Target="https://hanwhavision.eu/product/TNO-C3012TRA/" TargetMode="External"/><Relationship Id="rId291" Type="http://schemas.openxmlformats.org/officeDocument/2006/relationships/hyperlink" Target="https://hanwhavision.eu/product/TNO-C3022TRA/" TargetMode="External"/><Relationship Id="rId290" Type="http://schemas.openxmlformats.org/officeDocument/2006/relationships/hyperlink" Target="https://hanwhavision.eu/product/TNO-C3032TRA/" TargetMode="External"/><Relationship Id="rId286" Type="http://schemas.openxmlformats.org/officeDocument/2006/relationships/hyperlink" Target="https://hanwhavision.eu/product/TNU-6320E" TargetMode="External"/><Relationship Id="rId285" Type="http://schemas.openxmlformats.org/officeDocument/2006/relationships/hyperlink" Target="https://hanwhavision.eu/product/tnu-6322er/" TargetMode="External"/><Relationship Id="rId284" Type="http://schemas.openxmlformats.org/officeDocument/2006/relationships/hyperlink" Target="https://hanwhavision.eu/product/tnu-6322e/" TargetMode="External"/><Relationship Id="rId283" Type="http://schemas.openxmlformats.org/officeDocument/2006/relationships/hyperlink" Target="https://hanwhavision.eu/product/tno-6322er/" TargetMode="External"/><Relationship Id="rId289" Type="http://schemas.openxmlformats.org/officeDocument/2006/relationships/hyperlink" Target="https://hanwhavision.eu/product/TNO-C3010TRA/" TargetMode="External"/><Relationship Id="rId288" Type="http://schemas.openxmlformats.org/officeDocument/2006/relationships/hyperlink" Target="https://hanwhavision.eu/product/TNO-C3020TRA/" TargetMode="External"/><Relationship Id="rId287" Type="http://schemas.openxmlformats.org/officeDocument/2006/relationships/hyperlink" Target="https://hanwhavision.eu/product/TNO-C3030TRA/" TargetMode="External"/><Relationship Id="rId282" Type="http://schemas.openxmlformats.org/officeDocument/2006/relationships/hyperlink" Target="https://hanwhavision.eu/product/tnu-6322e/" TargetMode="External"/><Relationship Id="rId281" Type="http://schemas.openxmlformats.org/officeDocument/2006/relationships/hyperlink" Target="https://hanwhavision.eu/product/tno-6322er/" TargetMode="External"/><Relationship Id="rId280" Type="http://schemas.openxmlformats.org/officeDocument/2006/relationships/hyperlink" Target="https://hanwhavision.eu/product/TNO-C8083E/" TargetMode="External"/><Relationship Id="rId275" Type="http://schemas.openxmlformats.org/officeDocument/2006/relationships/hyperlink" Target="https://hanwhavision.eu/product/ANO-L6082R/" TargetMode="External"/><Relationship Id="rId274" Type="http://schemas.openxmlformats.org/officeDocument/2006/relationships/hyperlink" Target="https://hanwhavision.eu/product/ANO-L6022R/" TargetMode="External"/><Relationship Id="rId273" Type="http://schemas.openxmlformats.org/officeDocument/2006/relationships/hyperlink" Target="https://hanwhavision.eu/product/ANO-L6012R/" TargetMode="External"/><Relationship Id="rId272" Type="http://schemas.openxmlformats.org/officeDocument/2006/relationships/hyperlink" Target="https://hanwhavision.eu/product/ANE-L6012R/" TargetMode="External"/><Relationship Id="rId279" Type="http://schemas.openxmlformats.org/officeDocument/2006/relationships/hyperlink" Target="https://hanwhavision.eu/product/lno-6072r/" TargetMode="External"/><Relationship Id="rId278" Type="http://schemas.openxmlformats.org/officeDocument/2006/relationships/hyperlink" Target="https://hanwhavision.eu/product/ANV-L6082R/" TargetMode="External"/><Relationship Id="rId277" Type="http://schemas.openxmlformats.org/officeDocument/2006/relationships/hyperlink" Target="https://hanwhavision.eu/product/ANV-L6023R/" TargetMode="External"/><Relationship Id="rId276" Type="http://schemas.openxmlformats.org/officeDocument/2006/relationships/hyperlink" Target="https://hanwhavision.eu/product/ANV-L6012R/" TargetMode="External"/><Relationship Id="rId629" Type="http://schemas.openxmlformats.org/officeDocument/2006/relationships/hyperlink" Target="https://hanwhavision.eu/product/sbo-100b1/" TargetMode="External"/><Relationship Id="rId624" Type="http://schemas.openxmlformats.org/officeDocument/2006/relationships/hyperlink" Target="https://hanwhavision.eu/product/SBP-142WMW" TargetMode="External"/><Relationship Id="rId623" Type="http://schemas.openxmlformats.org/officeDocument/2006/relationships/hyperlink" Target="https://hanwhavision.eu/product/SBP-142CMW" TargetMode="External"/><Relationship Id="rId622" Type="http://schemas.openxmlformats.org/officeDocument/2006/relationships/hyperlink" Target="https://hanwhavision.eu/product/sbp-140wmw/" TargetMode="External"/><Relationship Id="rId621" Type="http://schemas.openxmlformats.org/officeDocument/2006/relationships/hyperlink" Target="https://hanwhavision.eu/product/sbp-160wmw1/" TargetMode="External"/><Relationship Id="rId628" Type="http://schemas.openxmlformats.org/officeDocument/2006/relationships/hyperlink" Target="https://hanwhavision.eu/product/SBF-100BW1" TargetMode="External"/><Relationship Id="rId627" Type="http://schemas.openxmlformats.org/officeDocument/2006/relationships/hyperlink" Target="https://hanwhavision.eu/product/sbf-100b1/" TargetMode="External"/><Relationship Id="rId626" Type="http://schemas.openxmlformats.org/officeDocument/2006/relationships/hyperlink" Target="https://hanwhavision.eu/product/sbp-300tm1/" TargetMode="External"/><Relationship Id="rId625" Type="http://schemas.openxmlformats.org/officeDocument/2006/relationships/hyperlink" Target="https://hanwhavision.eu/product/sbp-160tmw1/" TargetMode="External"/><Relationship Id="rId620" Type="http://schemas.openxmlformats.org/officeDocument/2006/relationships/hyperlink" Target="https://hanwhavision.eu/product/sbp-160tm/" TargetMode="External"/><Relationship Id="rId619" Type="http://schemas.openxmlformats.org/officeDocument/2006/relationships/hyperlink" Target="https://hanwhavision.eu/product/sbp-099TMW/" TargetMode="External"/><Relationship Id="rId618" Type="http://schemas.openxmlformats.org/officeDocument/2006/relationships/hyperlink" Target="https://hanwhavision.eu/product/sbp-303hf/" TargetMode="External"/><Relationship Id="rId613" Type="http://schemas.openxmlformats.org/officeDocument/2006/relationships/hyperlink" Target="https://hanwhavision.eu/product/sbp-900cmp/" TargetMode="External"/><Relationship Id="rId612" Type="http://schemas.openxmlformats.org/officeDocument/2006/relationships/hyperlink" Target="https://hanwhavision.eu/product/sbp-300cmts/" TargetMode="External"/><Relationship Id="rId611" Type="http://schemas.openxmlformats.org/officeDocument/2006/relationships/hyperlink" Target="https://hanwhavision.eu/product/SBP-300CMTW/" TargetMode="External"/><Relationship Id="rId610" Type="http://schemas.openxmlformats.org/officeDocument/2006/relationships/hyperlink" Target="https://hanwhavision.eu/product/sbp-300cmp/" TargetMode="External"/><Relationship Id="rId617" Type="http://schemas.openxmlformats.org/officeDocument/2006/relationships/hyperlink" Target="https://hanwhavision.eu/product/SBP-C15H" TargetMode="External"/><Relationship Id="rId616" Type="http://schemas.openxmlformats.org/officeDocument/2006/relationships/hyperlink" Target="https://hanwhavision.eu/product/SBP-C15NP" TargetMode="External"/><Relationship Id="rId615" Type="http://schemas.openxmlformats.org/officeDocument/2006/relationships/hyperlink" Target="https://hanwhavision.eu/product/SBP-C35H" TargetMode="External"/><Relationship Id="rId614" Type="http://schemas.openxmlformats.org/officeDocument/2006/relationships/hyperlink" Target="https://hanwhavision.eu/product/sbp-c15p/" TargetMode="External"/><Relationship Id="rId409" Type="http://schemas.openxmlformats.org/officeDocument/2006/relationships/hyperlink" Target="https://hanwhavision.eu/product/hrx-434/" TargetMode="External"/><Relationship Id="rId404" Type="http://schemas.openxmlformats.org/officeDocument/2006/relationships/hyperlink" Target="https://hanwhavision.eu/product/hrx-435/" TargetMode="External"/><Relationship Id="rId646" Type="http://schemas.openxmlformats.org/officeDocument/2006/relationships/hyperlink" Target="https://hanwhavision.eu/product/spp-c7200/" TargetMode="External"/><Relationship Id="rId403" Type="http://schemas.openxmlformats.org/officeDocument/2006/relationships/hyperlink" Target="https://hanwhavision.eu/product/hcb-6000ph/" TargetMode="External"/><Relationship Id="rId645" Type="http://schemas.openxmlformats.org/officeDocument/2006/relationships/hyperlink" Target="https://hanwhavision.eu/product/SPP-C45WA" TargetMode="External"/><Relationship Id="rId402" Type="http://schemas.openxmlformats.org/officeDocument/2006/relationships/hyperlink" Target="https://hanwhavision.eu/product/hcb-6000/" TargetMode="External"/><Relationship Id="rId644" Type="http://schemas.openxmlformats.org/officeDocument/2006/relationships/hyperlink" Target="https://hanwhavision.eu/product/SPP-C45W" TargetMode="External"/><Relationship Id="rId401" Type="http://schemas.openxmlformats.org/officeDocument/2006/relationships/hyperlink" Target="https://hanwhavision.eu/product/hcb-6001/" TargetMode="External"/><Relationship Id="rId643" Type="http://schemas.openxmlformats.org/officeDocument/2006/relationships/hyperlink" Target="https://hanwhavision.eu/product/scl-150/" TargetMode="External"/><Relationship Id="rId408" Type="http://schemas.openxmlformats.org/officeDocument/2006/relationships/hyperlink" Target="https://hanwhavision.eu/product/hrx-434/" TargetMode="External"/><Relationship Id="rId407" Type="http://schemas.openxmlformats.org/officeDocument/2006/relationships/hyperlink" Target="https://hanwhavision.eu/product/hrx-435/" TargetMode="External"/><Relationship Id="rId649" Type="http://schemas.openxmlformats.org/officeDocument/2006/relationships/hyperlink" Target="https://hanwhavision.eu/product/shb-9000h/" TargetMode="External"/><Relationship Id="rId406" Type="http://schemas.openxmlformats.org/officeDocument/2006/relationships/hyperlink" Target="https://hanwhavision.eu/product/hrx-435/" TargetMode="External"/><Relationship Id="rId648" Type="http://schemas.openxmlformats.org/officeDocument/2006/relationships/hyperlink" Target="https://hanwhavision.eu/product/SPP-C1900/" TargetMode="External"/><Relationship Id="rId405" Type="http://schemas.openxmlformats.org/officeDocument/2006/relationships/hyperlink" Target="https://hanwhavision.eu/product/hrx-435/" TargetMode="External"/><Relationship Id="rId647" Type="http://schemas.openxmlformats.org/officeDocument/2006/relationships/hyperlink" Target="https://hanwhavision.eu/product/spp-c7400/" TargetMode="External"/><Relationship Id="rId400" Type="http://schemas.openxmlformats.org/officeDocument/2006/relationships/hyperlink" Target="https://hanwhavision.eu/product/hcd-6020r/" TargetMode="External"/><Relationship Id="rId642" Type="http://schemas.openxmlformats.org/officeDocument/2006/relationships/hyperlink" Target="https://hanwhavision.eu/product/sbo-126b/" TargetMode="External"/><Relationship Id="rId641" Type="http://schemas.openxmlformats.org/officeDocument/2006/relationships/hyperlink" Target="https://hanwhavision.eu/product/sbv-180ww/" TargetMode="External"/><Relationship Id="rId640" Type="http://schemas.openxmlformats.org/officeDocument/2006/relationships/hyperlink" Target="https://hanwhavision.eu/product/sbv-180bw/" TargetMode="External"/><Relationship Id="rId635" Type="http://schemas.openxmlformats.org/officeDocument/2006/relationships/hyperlink" Target="https://hanwhavision.eu/product/sbv-138tmw/" TargetMode="External"/><Relationship Id="rId634" Type="http://schemas.openxmlformats.org/officeDocument/2006/relationships/hyperlink" Target="https://hanwhavision.eu/product/sbv-136bw/" TargetMode="External"/><Relationship Id="rId633" Type="http://schemas.openxmlformats.org/officeDocument/2006/relationships/hyperlink" Target="https://hanwhavision.eu/product/sbv-136b/" TargetMode="External"/><Relationship Id="rId632" Type="http://schemas.openxmlformats.org/officeDocument/2006/relationships/hyperlink" Target="https://hanwhavision.eu/product/sbv-116b/" TargetMode="External"/><Relationship Id="rId639" Type="http://schemas.openxmlformats.org/officeDocument/2006/relationships/hyperlink" Target="https://hanwhavision.eu/product/sbv-160bw/" TargetMode="External"/><Relationship Id="rId638" Type="http://schemas.openxmlformats.org/officeDocument/2006/relationships/hyperlink" Target="https://hanwhavision.eu/product/SBV-158GW" TargetMode="External"/><Relationship Id="rId637" Type="http://schemas.openxmlformats.org/officeDocument/2006/relationships/hyperlink" Target="https://hanwhavision.eu/product/sbv-158g/" TargetMode="External"/><Relationship Id="rId636" Type="http://schemas.openxmlformats.org/officeDocument/2006/relationships/hyperlink" Target="https://hanwhavision.eu/product/sbv-120gw/" TargetMode="External"/><Relationship Id="rId631" Type="http://schemas.openxmlformats.org/officeDocument/2006/relationships/hyperlink" Target="https://hanwhavision.eu/product/sbo-147ba/" TargetMode="External"/><Relationship Id="rId630" Type="http://schemas.openxmlformats.org/officeDocument/2006/relationships/hyperlink" Target="https://hanwhavision.eu/product/SBO-147B" TargetMode="External"/><Relationship Id="rId829" Type="http://schemas.openxmlformats.org/officeDocument/2006/relationships/hyperlink" Target="https://hanwhavision.eu/product/2u-12bay-server/" TargetMode="External"/><Relationship Id="rId828" Type="http://schemas.openxmlformats.org/officeDocument/2006/relationships/hyperlink" Target="https://hanwhavision.eu/product/2u-12bay-server/" TargetMode="External"/><Relationship Id="rId827" Type="http://schemas.openxmlformats.org/officeDocument/2006/relationships/hyperlink" Target="https://hanwhavision.eu/product/2u-12bay-server/" TargetMode="External"/><Relationship Id="rId822" Type="http://schemas.openxmlformats.org/officeDocument/2006/relationships/hyperlink" Target="https://hanwhavision.eu/product/1u-4bay-server/" TargetMode="External"/><Relationship Id="rId821" Type="http://schemas.openxmlformats.org/officeDocument/2006/relationships/hyperlink" Target="https://hanwhavision.eu/product/1u-4bay-server/" TargetMode="External"/><Relationship Id="rId820" Type="http://schemas.openxmlformats.org/officeDocument/2006/relationships/hyperlink" Target="https://hanwhavision.eu/product/1u-4bay-server/" TargetMode="External"/><Relationship Id="rId826" Type="http://schemas.openxmlformats.org/officeDocument/2006/relationships/hyperlink" Target="https://hanwhavision.eu/product/2u-12bay-server/" TargetMode="External"/><Relationship Id="rId825" Type="http://schemas.openxmlformats.org/officeDocument/2006/relationships/hyperlink" Target="https://hanwhavision.eu/product/2u-12bay-server/" TargetMode="External"/><Relationship Id="rId824" Type="http://schemas.openxmlformats.org/officeDocument/2006/relationships/hyperlink" Target="https://hanwhavision.eu/product/2u-12bay-server/" TargetMode="External"/><Relationship Id="rId823" Type="http://schemas.openxmlformats.org/officeDocument/2006/relationships/hyperlink" Target="https://hanwhavision.eu/product/1u-4bay-server/" TargetMode="External"/><Relationship Id="rId819" Type="http://schemas.openxmlformats.org/officeDocument/2006/relationships/hyperlink" Target="https://hanwhavision.eu/product/1u-4bay-server/" TargetMode="External"/><Relationship Id="rId818" Type="http://schemas.openxmlformats.org/officeDocument/2006/relationships/hyperlink" Target="https://hanwhavision.eu/product/1u-4bay-server/" TargetMode="External"/><Relationship Id="rId817" Type="http://schemas.openxmlformats.org/officeDocument/2006/relationships/hyperlink" Target="https://hanwhavision.eu/product/secl-brckt-pole/" TargetMode="External"/><Relationship Id="rId816" Type="http://schemas.openxmlformats.org/officeDocument/2006/relationships/hyperlink" Target="https://hanwhavision.eu/product/secl-brckt-wall-3/" TargetMode="External"/><Relationship Id="rId811" Type="http://schemas.openxmlformats.org/officeDocument/2006/relationships/hyperlink" Target="https://hanwhavision.eu/product/secl-ir850-ippoepl-m/" TargetMode="External"/><Relationship Id="rId810" Type="http://schemas.openxmlformats.org/officeDocument/2006/relationships/hyperlink" Target="https://hanwhavision.eu/product/secl-ir850-poe-s/" TargetMode="External"/><Relationship Id="rId815" Type="http://schemas.openxmlformats.org/officeDocument/2006/relationships/hyperlink" Target="https://hanwhavision.eu/product/secl-brckt-wall-2/" TargetMode="External"/><Relationship Id="rId814" Type="http://schemas.openxmlformats.org/officeDocument/2006/relationships/hyperlink" Target="https://hanwhavision.eu/product/secl-brckt-wall-1/" TargetMode="External"/><Relationship Id="rId813" Type="http://schemas.openxmlformats.org/officeDocument/2006/relationships/hyperlink" Target="https://hanwhavision.eu/product/SECL-WL1856-IPPOEPL-M" TargetMode="External"/><Relationship Id="rId812" Type="http://schemas.openxmlformats.org/officeDocument/2006/relationships/hyperlink" Target="https://hanwhavision.eu/product/secl-wl928-poe-s/" TargetMode="External"/><Relationship Id="rId609" Type="http://schemas.openxmlformats.org/officeDocument/2006/relationships/hyperlink" Target="https://hanwhavision.eu/product/SBP-150PMW" TargetMode="External"/><Relationship Id="rId608" Type="http://schemas.openxmlformats.org/officeDocument/2006/relationships/hyperlink" Target="https://hanwhavision.eu/product/SBP-150NBW" TargetMode="External"/><Relationship Id="rId607" Type="http://schemas.openxmlformats.org/officeDocument/2006/relationships/hyperlink" Target="https://hanwhavision.eu/product/sbp-150cmp/" TargetMode="External"/><Relationship Id="rId602" Type="http://schemas.openxmlformats.org/officeDocument/2006/relationships/hyperlink" Target="https://hanwhavision.eu/product/sbp-140cmb/" TargetMode="External"/><Relationship Id="rId601" Type="http://schemas.openxmlformats.org/officeDocument/2006/relationships/hyperlink" Target="https://hanwhavision.eu/product/sbp-300cmi/" TargetMode="External"/><Relationship Id="rId600" Type="http://schemas.openxmlformats.org/officeDocument/2006/relationships/hyperlink" Target="https://hanwhavision.eu/product/sbp-150cmi/" TargetMode="External"/><Relationship Id="rId606" Type="http://schemas.openxmlformats.org/officeDocument/2006/relationships/hyperlink" Target="https://hanwhavision.eu/product/sbp-180cms/" TargetMode="External"/><Relationship Id="rId605" Type="http://schemas.openxmlformats.org/officeDocument/2006/relationships/hyperlink" Target="https://hanwhavision.eu/product/sbp-180cmb/" TargetMode="External"/><Relationship Id="rId604" Type="http://schemas.openxmlformats.org/officeDocument/2006/relationships/hyperlink" Target="https://hanwhavision.eu/product/SBP-180C" TargetMode="External"/><Relationship Id="rId603" Type="http://schemas.openxmlformats.org/officeDocument/2006/relationships/hyperlink" Target="https://hanwhavision.eu/product/sbp-140cmt/" TargetMode="External"/><Relationship Id="rId833" Type="http://schemas.openxmlformats.org/officeDocument/2006/relationships/hyperlink" Target="https://hanwhavision.eu/product/2u-12bay-server/" TargetMode="External"/><Relationship Id="rId832" Type="http://schemas.openxmlformats.org/officeDocument/2006/relationships/hyperlink" Target="https://hanwhavision.eu/product/2u-12bay-server/" TargetMode="External"/><Relationship Id="rId831" Type="http://schemas.openxmlformats.org/officeDocument/2006/relationships/hyperlink" Target="https://hanwhavision.eu/product/2u-12bay-server/" TargetMode="External"/><Relationship Id="rId830" Type="http://schemas.openxmlformats.org/officeDocument/2006/relationships/hyperlink" Target="https://hanwhavision.eu/product/2u-12bay-server/" TargetMode="External"/><Relationship Id="rId837" Type="http://schemas.openxmlformats.org/officeDocument/2006/relationships/drawing" Target="../drawings/drawing2.xml"/><Relationship Id="rId836" Type="http://schemas.openxmlformats.org/officeDocument/2006/relationships/hyperlink" Target="https://hanwhavision.eu/product/amgpsu-i48-p240/" TargetMode="External"/><Relationship Id="rId835" Type="http://schemas.openxmlformats.org/officeDocument/2006/relationships/hyperlink" Target="https://hanwhavision.eu/product/amgpsu-i24-p60/" TargetMode="External"/><Relationship Id="rId834" Type="http://schemas.openxmlformats.org/officeDocument/2006/relationships/hyperlink" Target="https://hanwhavision.eu/product/1u-mserver/" TargetMode="External"/><Relationship Id="rId228" Type="http://schemas.openxmlformats.org/officeDocument/2006/relationships/hyperlink" Target="https://hanwhavision.eu/product/xnv-6012/" TargetMode="External"/><Relationship Id="rId227" Type="http://schemas.openxmlformats.org/officeDocument/2006/relationships/hyperlink" Target="https://hanwhavision.eu/product/xnv-6012m/" TargetMode="External"/><Relationship Id="rId469" Type="http://schemas.openxmlformats.org/officeDocument/2006/relationships/hyperlink" Target="https://hanwhavision.eu/product/SHD-1400FW/" TargetMode="External"/><Relationship Id="rId226" Type="http://schemas.openxmlformats.org/officeDocument/2006/relationships/hyperlink" Target="https://hanwhavision.eu/product/xnv-6013m/" TargetMode="External"/><Relationship Id="rId468" Type="http://schemas.openxmlformats.org/officeDocument/2006/relationships/hyperlink" Target="https://hanwhavision.eu/product/SHD-1400FPW/" TargetMode="External"/><Relationship Id="rId225" Type="http://schemas.openxmlformats.org/officeDocument/2006/relationships/hyperlink" Target="https://hanwhavision.eu/product/xnv-6020r/" TargetMode="External"/><Relationship Id="rId467" Type="http://schemas.openxmlformats.org/officeDocument/2006/relationships/hyperlink" Target="https://hanwhavision.eu/product/SHD-1372FPW" TargetMode="External"/><Relationship Id="rId229" Type="http://schemas.openxmlformats.org/officeDocument/2006/relationships/hyperlink" Target="https://hanwhavision.eu/product/xnv-6011/" TargetMode="External"/><Relationship Id="rId220" Type="http://schemas.openxmlformats.org/officeDocument/2006/relationships/hyperlink" Target="https://hanwhavision.eu/product/xnv-6080/" TargetMode="External"/><Relationship Id="rId462" Type="http://schemas.openxmlformats.org/officeDocument/2006/relationships/hyperlink" Target="https://hanwhavision.eu/product/shd-1200fpw/" TargetMode="External"/><Relationship Id="rId461" Type="http://schemas.openxmlformats.org/officeDocument/2006/relationships/hyperlink" Target="https://hanwhavision.eu/product/SHD-1200FW" TargetMode="External"/><Relationship Id="rId460" Type="http://schemas.openxmlformats.org/officeDocument/2006/relationships/hyperlink" Target="https://hanwhavision.eu/product/shd-1198fw/" TargetMode="External"/><Relationship Id="rId224" Type="http://schemas.openxmlformats.org/officeDocument/2006/relationships/hyperlink" Target="https://hanwhavision.eu/product/xnv-6022rm/" TargetMode="External"/><Relationship Id="rId466" Type="http://schemas.openxmlformats.org/officeDocument/2006/relationships/hyperlink" Target="https://hanwhavision.eu/product/SHD-1370FPW/" TargetMode="External"/><Relationship Id="rId223" Type="http://schemas.openxmlformats.org/officeDocument/2006/relationships/hyperlink" Target="https://hanwhavision.eu/product/xnv-6022r/" TargetMode="External"/><Relationship Id="rId465" Type="http://schemas.openxmlformats.org/officeDocument/2006/relationships/hyperlink" Target="https://hanwhavision.eu/product/shd-1350fpw/" TargetMode="External"/><Relationship Id="rId222" Type="http://schemas.openxmlformats.org/officeDocument/2006/relationships/hyperlink" Target="https://hanwhavision.eu/product/xnv-6080rsa/" TargetMode="External"/><Relationship Id="rId464" Type="http://schemas.openxmlformats.org/officeDocument/2006/relationships/hyperlink" Target="https://hanwhavision.eu/product/SHD-1350P" TargetMode="External"/><Relationship Id="rId221" Type="http://schemas.openxmlformats.org/officeDocument/2006/relationships/hyperlink" Target="https://hanwhavision.eu/product/xnv-6080r/" TargetMode="External"/><Relationship Id="rId463" Type="http://schemas.openxmlformats.org/officeDocument/2006/relationships/hyperlink" Target="https://hanwhavision.eu/product/SHD-1201FPW" TargetMode="External"/><Relationship Id="rId217" Type="http://schemas.openxmlformats.org/officeDocument/2006/relationships/hyperlink" Target="https://hanwhavision.eu/product/xnd-6011f/" TargetMode="External"/><Relationship Id="rId459" Type="http://schemas.openxmlformats.org/officeDocument/2006/relationships/hyperlink" Target="https://hanwhavision.eu/product/shd-1128fpw/" TargetMode="External"/><Relationship Id="rId216" Type="http://schemas.openxmlformats.org/officeDocument/2006/relationships/hyperlink" Target="https://hanwhavision.eu/product/xnd-6020r/" TargetMode="External"/><Relationship Id="rId458" Type="http://schemas.openxmlformats.org/officeDocument/2006/relationships/hyperlink" Target="https://hanwhavision.eu/product/SHP-1730FPW/" TargetMode="External"/><Relationship Id="rId215" Type="http://schemas.openxmlformats.org/officeDocument/2006/relationships/hyperlink" Target="https://hanwhavision.eu/product/xnd-l6080r/" TargetMode="External"/><Relationship Id="rId457" Type="http://schemas.openxmlformats.org/officeDocument/2006/relationships/hyperlink" Target="https://hanwhavision.eu/product/shp-1680fw/" TargetMode="External"/><Relationship Id="rId699" Type="http://schemas.openxmlformats.org/officeDocument/2006/relationships/hyperlink" Target="https://hanwhavision.eu/product/spb-ind85w/" TargetMode="External"/><Relationship Id="rId214" Type="http://schemas.openxmlformats.org/officeDocument/2006/relationships/hyperlink" Target="https://hanwhavision.eu/product/xnd-6080rv/" TargetMode="External"/><Relationship Id="rId456" Type="http://schemas.openxmlformats.org/officeDocument/2006/relationships/hyperlink" Target="https://hanwhavision.eu/product/SHP-1680FPW" TargetMode="External"/><Relationship Id="rId698" Type="http://schemas.openxmlformats.org/officeDocument/2006/relationships/hyperlink" Target="https://hanwhavision.eu/product/spb-ind81v/" TargetMode="External"/><Relationship Id="rId219" Type="http://schemas.openxmlformats.org/officeDocument/2006/relationships/hyperlink" Target="https://hanwhavision.eu/product/xnv-6120r/" TargetMode="External"/><Relationship Id="rId218" Type="http://schemas.openxmlformats.org/officeDocument/2006/relationships/hyperlink" Target="https://hanwhavision.eu/product/xnd-6010/" TargetMode="External"/><Relationship Id="rId451" Type="http://schemas.openxmlformats.org/officeDocument/2006/relationships/hyperlink" Target="https://hanwhavision.eu/product/spo-8315/" TargetMode="External"/><Relationship Id="rId693" Type="http://schemas.openxmlformats.org/officeDocument/2006/relationships/hyperlink" Target="https://hanwhavision.eu/product/spb-vaw72/" TargetMode="External"/><Relationship Id="rId450" Type="http://schemas.openxmlformats.org/officeDocument/2006/relationships/hyperlink" Target="https://hanwhavision.eu/product/spo-6011/" TargetMode="External"/><Relationship Id="rId692" Type="http://schemas.openxmlformats.org/officeDocument/2006/relationships/hyperlink" Target="https://hanwhavision.eu/product/spb-vaw12/" TargetMode="External"/><Relationship Id="rId691" Type="http://schemas.openxmlformats.org/officeDocument/2006/relationships/hyperlink" Target="https://hanwhavision.eu/product/spb-fcd85w/" TargetMode="External"/><Relationship Id="rId690" Type="http://schemas.openxmlformats.org/officeDocument/2006/relationships/hyperlink" Target="https://hanwhavision.eu/product/spb-van89w/" TargetMode="External"/><Relationship Id="rId213" Type="http://schemas.openxmlformats.org/officeDocument/2006/relationships/hyperlink" Target="https://hanwhavision.eu/product/xnd-6080r/" TargetMode="External"/><Relationship Id="rId455" Type="http://schemas.openxmlformats.org/officeDocument/2006/relationships/hyperlink" Target="https://hanwhavision.eu/product/shp-1680f/" TargetMode="External"/><Relationship Id="rId697" Type="http://schemas.openxmlformats.org/officeDocument/2006/relationships/hyperlink" Target="https://hanwhavision.eu/product/spb-ind81/" TargetMode="External"/><Relationship Id="rId212" Type="http://schemas.openxmlformats.org/officeDocument/2006/relationships/hyperlink" Target="https://hanwhavision.eu/product/xnd-6080v/" TargetMode="External"/><Relationship Id="rId454" Type="http://schemas.openxmlformats.org/officeDocument/2006/relationships/hyperlink" Target="https://hanwhavision.eu/product/shp-1520fw/" TargetMode="External"/><Relationship Id="rId696" Type="http://schemas.openxmlformats.org/officeDocument/2006/relationships/hyperlink" Target="https://hanwhavision.eu/product/spb-ind12/" TargetMode="External"/><Relationship Id="rId211" Type="http://schemas.openxmlformats.org/officeDocument/2006/relationships/hyperlink" Target="https://hanwhavision.eu/product/xnd-6080/" TargetMode="External"/><Relationship Id="rId453" Type="http://schemas.openxmlformats.org/officeDocument/2006/relationships/hyperlink" Target="https://hanwhavision.eu/product/SHP-1563FW" TargetMode="External"/><Relationship Id="rId695" Type="http://schemas.openxmlformats.org/officeDocument/2006/relationships/hyperlink" Target="https://hanwhavision.eu/product/spb-ind11/" TargetMode="External"/><Relationship Id="rId210" Type="http://schemas.openxmlformats.org/officeDocument/2006/relationships/hyperlink" Target="https://hanwhavision.eu/product/xno-6020r/" TargetMode="External"/><Relationship Id="rId452" Type="http://schemas.openxmlformats.org/officeDocument/2006/relationships/hyperlink" Target="https://hanwhavision.eu/product/shp-1563fpw/" TargetMode="External"/><Relationship Id="rId694" Type="http://schemas.openxmlformats.org/officeDocument/2006/relationships/hyperlink" Target="https://hanwhavision.eu/product/spb-ind6/" TargetMode="External"/><Relationship Id="rId491" Type="http://schemas.openxmlformats.org/officeDocument/2006/relationships/hyperlink" Target="https://hanwhavision.eu/product/sbs-165b" TargetMode="External"/><Relationship Id="rId490" Type="http://schemas.openxmlformats.org/officeDocument/2006/relationships/hyperlink" Target="https://hanwhavision.eu/product/sbc-165w/" TargetMode="External"/><Relationship Id="rId249" Type="http://schemas.openxmlformats.org/officeDocument/2006/relationships/hyperlink" Target="https://hanwhavision.eu/product/qnd-6012r/" TargetMode="External"/><Relationship Id="rId248" Type="http://schemas.openxmlformats.org/officeDocument/2006/relationships/hyperlink" Target="https://hanwhavision.eu/product/qnd-6022r1/" TargetMode="External"/><Relationship Id="rId247" Type="http://schemas.openxmlformats.org/officeDocument/2006/relationships/hyperlink" Target="https://hanwhavision.eu/product/qnd-6022r/" TargetMode="External"/><Relationship Id="rId489" Type="http://schemas.openxmlformats.org/officeDocument/2006/relationships/hyperlink" Target="https://hanwhavision.eu/product/sbc-170cb/" TargetMode="External"/><Relationship Id="rId242" Type="http://schemas.openxmlformats.org/officeDocument/2006/relationships/hyperlink" Target="https://hanwhavision.eu/product/qno-6022r1/" TargetMode="External"/><Relationship Id="rId484" Type="http://schemas.openxmlformats.org/officeDocument/2006/relationships/hyperlink" Target="https://hanwhavision.eu/product/shp-3701h/" TargetMode="External"/><Relationship Id="rId241" Type="http://schemas.openxmlformats.org/officeDocument/2006/relationships/hyperlink" Target="https://hanwhavision.eu/product/qno-6022r/" TargetMode="External"/><Relationship Id="rId483" Type="http://schemas.openxmlformats.org/officeDocument/2006/relationships/hyperlink" Target="https://hanwhavision.eu/product/shd-3000f4/" TargetMode="External"/><Relationship Id="rId240" Type="http://schemas.openxmlformats.org/officeDocument/2006/relationships/hyperlink" Target="https://hanwhavision.eu/product/qno-6082r1/" TargetMode="External"/><Relationship Id="rId482" Type="http://schemas.openxmlformats.org/officeDocument/2006/relationships/hyperlink" Target="https://hanwhavision.eu/product/shd-3000f3/" TargetMode="External"/><Relationship Id="rId481" Type="http://schemas.openxmlformats.org/officeDocument/2006/relationships/hyperlink" Target="https://hanwhavision.eu/product/shd-3000f1/" TargetMode="External"/><Relationship Id="rId246" Type="http://schemas.openxmlformats.org/officeDocument/2006/relationships/hyperlink" Target="https://hanwhavision.eu/product/qnd-6082r1/" TargetMode="External"/><Relationship Id="rId488" Type="http://schemas.openxmlformats.org/officeDocument/2006/relationships/hyperlink" Target="https://hanwhavision.eu/product/sbc-170cw/" TargetMode="External"/><Relationship Id="rId245" Type="http://schemas.openxmlformats.org/officeDocument/2006/relationships/hyperlink" Target="https://hanwhavision.eu/product/QND-6082R/" TargetMode="External"/><Relationship Id="rId487" Type="http://schemas.openxmlformats.org/officeDocument/2006/relationships/hyperlink" Target="https://hanwhavision.eu/product/sbc-170c/" TargetMode="External"/><Relationship Id="rId244" Type="http://schemas.openxmlformats.org/officeDocument/2006/relationships/hyperlink" Target="https://hanwhavision.eu/product/qno-6012r1/" TargetMode="External"/><Relationship Id="rId486" Type="http://schemas.openxmlformats.org/officeDocument/2006/relationships/hyperlink" Target="https://hanwhavision.eu/product/SBC-140WB" TargetMode="External"/><Relationship Id="rId243" Type="http://schemas.openxmlformats.org/officeDocument/2006/relationships/hyperlink" Target="https://hanwhavision.eu/product/QNO-6012R" TargetMode="External"/><Relationship Id="rId485" Type="http://schemas.openxmlformats.org/officeDocument/2006/relationships/hyperlink" Target="https://hanwhavision.eu/product/shf-1500f/" TargetMode="External"/><Relationship Id="rId480" Type="http://schemas.openxmlformats.org/officeDocument/2006/relationships/hyperlink" Target="https://hanwhavision.eu/product/shd-2510fpw" TargetMode="External"/><Relationship Id="rId239" Type="http://schemas.openxmlformats.org/officeDocument/2006/relationships/hyperlink" Target="https://hanwhavision.eu/product/qno-6082r/" TargetMode="External"/><Relationship Id="rId238" Type="http://schemas.openxmlformats.org/officeDocument/2006/relationships/hyperlink" Target="https://hanwhavision.eu/product/xnz-l6320a/" TargetMode="External"/><Relationship Id="rId237" Type="http://schemas.openxmlformats.org/officeDocument/2006/relationships/hyperlink" Target="https://hanwhavision.eu/product/xnz-6320A/" TargetMode="External"/><Relationship Id="rId479" Type="http://schemas.openxmlformats.org/officeDocument/2006/relationships/hyperlink" Target="https://hanwhavision.eu/product/SHD-2501FPW" TargetMode="External"/><Relationship Id="rId236" Type="http://schemas.openxmlformats.org/officeDocument/2006/relationships/hyperlink" Target="https://hanwhavision.eu/product/xnp-6040h/" TargetMode="External"/><Relationship Id="rId478" Type="http://schemas.openxmlformats.org/officeDocument/2006/relationships/hyperlink" Target="https://hanwhavision.eu/product/SHD-2500FPW" TargetMode="External"/><Relationship Id="rId231" Type="http://schemas.openxmlformats.org/officeDocument/2006/relationships/hyperlink" Target="https://hanwhavision.eu/product/xnp-6400rw/" TargetMode="External"/><Relationship Id="rId473" Type="http://schemas.openxmlformats.org/officeDocument/2006/relationships/hyperlink" Target="https://hanwhavision.eu/product/SHD-1100FPW" TargetMode="External"/><Relationship Id="rId230" Type="http://schemas.openxmlformats.org/officeDocument/2006/relationships/hyperlink" Target="https://hanwhavision.eu/product/xnv-6010/" TargetMode="External"/><Relationship Id="rId472" Type="http://schemas.openxmlformats.org/officeDocument/2006/relationships/hyperlink" Target="https://hanwhavision.eu/product/SHD-1101FW" TargetMode="External"/><Relationship Id="rId471" Type="http://schemas.openxmlformats.org/officeDocument/2006/relationships/hyperlink" Target="https://hanwhavision.eu/product/SHD-1408FPW/" TargetMode="External"/><Relationship Id="rId470" Type="http://schemas.openxmlformats.org/officeDocument/2006/relationships/hyperlink" Target="https://hanwhavision.eu/product/shd-1408fw/" TargetMode="External"/><Relationship Id="rId235" Type="http://schemas.openxmlformats.org/officeDocument/2006/relationships/hyperlink" Target="https://hanwhavision.eu/product/xnp-6120h/" TargetMode="External"/><Relationship Id="rId477" Type="http://schemas.openxmlformats.org/officeDocument/2006/relationships/hyperlink" Target="https://hanwhavision.eu/product/SHD-2000FPW/" TargetMode="External"/><Relationship Id="rId234" Type="http://schemas.openxmlformats.org/officeDocument/2006/relationships/hyperlink" Target="https://hanwhavision.eu/product/xnp-6550rh/" TargetMode="External"/><Relationship Id="rId476" Type="http://schemas.openxmlformats.org/officeDocument/2006/relationships/hyperlink" Target="https://hanwhavision.eu/product/SHD-1600FW" TargetMode="External"/><Relationship Id="rId233" Type="http://schemas.openxmlformats.org/officeDocument/2006/relationships/hyperlink" Target="https://hanwhavision.eu/product/xnp-6400/" TargetMode="External"/><Relationship Id="rId475" Type="http://schemas.openxmlformats.org/officeDocument/2006/relationships/hyperlink" Target="https://hanwhavision.eu/product/shd-1600fpw/" TargetMode="External"/><Relationship Id="rId232" Type="http://schemas.openxmlformats.org/officeDocument/2006/relationships/hyperlink" Target="https://hanwhavision.eu/product/xnp-6400r/" TargetMode="External"/><Relationship Id="rId474" Type="http://schemas.openxmlformats.org/officeDocument/2006/relationships/hyperlink" Target="https://hanwhavision.eu/product/SHD-1000F1" TargetMode="External"/><Relationship Id="rId426" Type="http://schemas.openxmlformats.org/officeDocument/2006/relationships/hyperlink" Target="https://hanwhavision.eu/product/sla-t2480wa/" TargetMode="External"/><Relationship Id="rId668" Type="http://schemas.openxmlformats.org/officeDocument/2006/relationships/hyperlink" Target="https://hanwhavision.eu/product/SBO-140WW/" TargetMode="External"/><Relationship Id="rId425" Type="http://schemas.openxmlformats.org/officeDocument/2006/relationships/hyperlink" Target="https://hanwhavision.eu/product/sla-t4680dw/" TargetMode="External"/><Relationship Id="rId667" Type="http://schemas.openxmlformats.org/officeDocument/2006/relationships/hyperlink" Target="https://hanwhavision.eu/product/SBO-140BW" TargetMode="External"/><Relationship Id="rId424" Type="http://schemas.openxmlformats.org/officeDocument/2006/relationships/hyperlink" Target="https://hanwhavision.eu/product/sla-t4680ds/" TargetMode="External"/><Relationship Id="rId666" Type="http://schemas.openxmlformats.org/officeDocument/2006/relationships/hyperlink" Target="https://hanwhavision.eu/product/SBV-140WW/" TargetMode="External"/><Relationship Id="rId423" Type="http://schemas.openxmlformats.org/officeDocument/2006/relationships/hyperlink" Target="https://hanwhavision.eu/product/sla-t4680d/" TargetMode="External"/><Relationship Id="rId665" Type="http://schemas.openxmlformats.org/officeDocument/2006/relationships/hyperlink" Target="https://hanwhavision.eu/product/sbv-140bw/" TargetMode="External"/><Relationship Id="rId429" Type="http://schemas.openxmlformats.org/officeDocument/2006/relationships/hyperlink" Target="https://hanwhavision.eu/product/sla-t4680dsa/" TargetMode="External"/><Relationship Id="rId428" Type="http://schemas.openxmlformats.org/officeDocument/2006/relationships/hyperlink" Target="https://hanwhavision.eu/product/sla-t4680da/" TargetMode="External"/><Relationship Id="rId427" Type="http://schemas.openxmlformats.org/officeDocument/2006/relationships/hyperlink" Target="https://hanwhavision.eu/product/sla-t2480wda/" TargetMode="External"/><Relationship Id="rId669" Type="http://schemas.openxmlformats.org/officeDocument/2006/relationships/hyperlink" Target="https://hanwhavision.eu/product/SBV-A14B/" TargetMode="External"/><Relationship Id="rId660" Type="http://schemas.openxmlformats.org/officeDocument/2006/relationships/hyperlink" Target="https://hanwhavision.eu/product/SBV-140WCBW" TargetMode="External"/><Relationship Id="rId422" Type="http://schemas.openxmlformats.org/officeDocument/2006/relationships/hyperlink" Target="https://hanwhavision.eu/product/sla-t1080fa/" TargetMode="External"/><Relationship Id="rId664" Type="http://schemas.openxmlformats.org/officeDocument/2006/relationships/hyperlink" Target="https://hanwhavision.eu/product/SBV-140TBW" TargetMode="External"/><Relationship Id="rId421" Type="http://schemas.openxmlformats.org/officeDocument/2006/relationships/hyperlink" Target="https://hanwhavision.eu/product/sla-t2480va/" TargetMode="External"/><Relationship Id="rId663" Type="http://schemas.openxmlformats.org/officeDocument/2006/relationships/hyperlink" Target="https://hanwhavision.eu/product/sbv-140tmw/" TargetMode="External"/><Relationship Id="rId420" Type="http://schemas.openxmlformats.org/officeDocument/2006/relationships/hyperlink" Target="https://hanwhavision.eu/product/sla-t2480a/" TargetMode="External"/><Relationship Id="rId662" Type="http://schemas.openxmlformats.org/officeDocument/2006/relationships/hyperlink" Target="https://hanwhavision.eu/product/sbv-161wcw/" TargetMode="External"/><Relationship Id="rId661" Type="http://schemas.openxmlformats.org/officeDocument/2006/relationships/hyperlink" Target="https://hanwhavision.eu/product/sbv-160wc/" TargetMode="External"/><Relationship Id="rId415" Type="http://schemas.openxmlformats.org/officeDocument/2006/relationships/hyperlink" Target="https://hanwhavision.eu/product/sla-t2480/" TargetMode="External"/><Relationship Id="rId657" Type="http://schemas.openxmlformats.org/officeDocument/2006/relationships/hyperlink" Target="https://hanwhavision.eu/product/sbv-253wcw/" TargetMode="External"/><Relationship Id="rId414" Type="http://schemas.openxmlformats.org/officeDocument/2006/relationships/hyperlink" Target="https://hanwhavision.eu/product/sla-t4680v/" TargetMode="External"/><Relationship Id="rId656" Type="http://schemas.openxmlformats.org/officeDocument/2006/relationships/hyperlink" Target="https://hanwhavision.eu/product/stb-4150v/" TargetMode="External"/><Relationship Id="rId413" Type="http://schemas.openxmlformats.org/officeDocument/2006/relationships/hyperlink" Target="https://hanwhavision.eu/product/sla-t4680/" TargetMode="External"/><Relationship Id="rId655" Type="http://schemas.openxmlformats.org/officeDocument/2006/relationships/hyperlink" Target="https://hanwhavision.eu/product/shb-4301hp/" TargetMode="External"/><Relationship Id="rId412" Type="http://schemas.openxmlformats.org/officeDocument/2006/relationships/hyperlink" Target="https://hanwhavision.eu/product/hrx-420/" TargetMode="External"/><Relationship Id="rId654" Type="http://schemas.openxmlformats.org/officeDocument/2006/relationships/hyperlink" Target="https://hanwhavision.eu/product/shb-4301h2/" TargetMode="External"/><Relationship Id="rId419" Type="http://schemas.openxmlformats.org/officeDocument/2006/relationships/hyperlink" Target="https://hanwhavision.eu/product/sla-t4680va/" TargetMode="External"/><Relationship Id="rId418" Type="http://schemas.openxmlformats.org/officeDocument/2006/relationships/hyperlink" Target="https://hanwhavision.eu/product/sla-t4680a/" TargetMode="External"/><Relationship Id="rId417" Type="http://schemas.openxmlformats.org/officeDocument/2006/relationships/hyperlink" Target="https://hanwhavision.eu/product/sla-t1080f/" TargetMode="External"/><Relationship Id="rId659" Type="http://schemas.openxmlformats.org/officeDocument/2006/relationships/hyperlink" Target="https://hanwhavision.eu/product/SBV-121WCW" TargetMode="External"/><Relationship Id="rId416" Type="http://schemas.openxmlformats.org/officeDocument/2006/relationships/hyperlink" Target="https://hanwhavision.eu/product/sla-t2480v/" TargetMode="External"/><Relationship Id="rId658" Type="http://schemas.openxmlformats.org/officeDocument/2006/relationships/hyperlink" Target="https://hanwhavision.eu/product/sbv-120wcw/" TargetMode="External"/><Relationship Id="rId411" Type="http://schemas.openxmlformats.org/officeDocument/2006/relationships/hyperlink" Target="https://hanwhavision.eu/product/hrx-420/" TargetMode="External"/><Relationship Id="rId653" Type="http://schemas.openxmlformats.org/officeDocument/2006/relationships/hyperlink" Target="https://hanwhavision.eu/product/shb-4300h1/" TargetMode="External"/><Relationship Id="rId410" Type="http://schemas.openxmlformats.org/officeDocument/2006/relationships/hyperlink" Target="https://hanwhavision.eu/product/hrx-434/" TargetMode="External"/><Relationship Id="rId652" Type="http://schemas.openxmlformats.org/officeDocument/2006/relationships/hyperlink" Target="https://hanwhavision.eu/product/shb-4300h/" TargetMode="External"/><Relationship Id="rId651" Type="http://schemas.openxmlformats.org/officeDocument/2006/relationships/hyperlink" Target="https://hanwhavision.eu/product/shb-4200h/" TargetMode="External"/><Relationship Id="rId650" Type="http://schemas.openxmlformats.org/officeDocument/2006/relationships/hyperlink" Target="https://hanwhavision.eu/product/shb-4200/" TargetMode="External"/><Relationship Id="rId206" Type="http://schemas.openxmlformats.org/officeDocument/2006/relationships/hyperlink" Target="https://hanwhavision.eu/product/XNO-6085R" TargetMode="External"/><Relationship Id="rId448" Type="http://schemas.openxmlformats.org/officeDocument/2006/relationships/hyperlink" Target="https://hanwhavision.eu/product/spi-50/" TargetMode="External"/><Relationship Id="rId205" Type="http://schemas.openxmlformats.org/officeDocument/2006/relationships/hyperlink" Target="https://hanwhavision.eu/product/xno-6120r/" TargetMode="External"/><Relationship Id="rId447" Type="http://schemas.openxmlformats.org/officeDocument/2006/relationships/hyperlink" Target="https://hanwhavision.eu/product/sla-m2890pn/" TargetMode="External"/><Relationship Id="rId689" Type="http://schemas.openxmlformats.org/officeDocument/2006/relationships/hyperlink" Target="https://hanwhavision.eu/product/spb-van88w/" TargetMode="External"/><Relationship Id="rId204" Type="http://schemas.openxmlformats.org/officeDocument/2006/relationships/hyperlink" Target="https://hanwhavision.eu/product/xnb-6002/" TargetMode="External"/><Relationship Id="rId446" Type="http://schemas.openxmlformats.org/officeDocument/2006/relationships/hyperlink" Target="https://hanwhavision.eu/product/SLA-M2890DN/" TargetMode="External"/><Relationship Id="rId688" Type="http://schemas.openxmlformats.org/officeDocument/2006/relationships/hyperlink" Target="https://hanwhavision.eu/product/spb-van85w/" TargetMode="External"/><Relationship Id="rId203" Type="http://schemas.openxmlformats.org/officeDocument/2006/relationships/hyperlink" Target="https://hanwhavision.eu/product/xnb-6001/" TargetMode="External"/><Relationship Id="rId445" Type="http://schemas.openxmlformats.org/officeDocument/2006/relationships/hyperlink" Target="https://hanwhavision.eu/product/sla-m8550d/" TargetMode="External"/><Relationship Id="rId687" Type="http://schemas.openxmlformats.org/officeDocument/2006/relationships/hyperlink" Target="https://hanwhavision.eu/product/spb-van85w/" TargetMode="External"/><Relationship Id="rId209" Type="http://schemas.openxmlformats.org/officeDocument/2006/relationships/hyperlink" Target="https://hanwhavision.eu/product/xno-6010r/" TargetMode="External"/><Relationship Id="rId208" Type="http://schemas.openxmlformats.org/officeDocument/2006/relationships/hyperlink" Target="https://hanwhavision.eu/product/xno-l6080r/" TargetMode="External"/><Relationship Id="rId207" Type="http://schemas.openxmlformats.org/officeDocument/2006/relationships/hyperlink" Target="https://hanwhavision.eu/product/xno-6080r/" TargetMode="External"/><Relationship Id="rId449" Type="http://schemas.openxmlformats.org/officeDocument/2006/relationships/hyperlink" Target="https://hanwhavision.eu/product/spm-4210/" TargetMode="External"/><Relationship Id="rId440" Type="http://schemas.openxmlformats.org/officeDocument/2006/relationships/hyperlink" Target="https://hanwhavision.eu/product/sla-5m7000p/" TargetMode="External"/><Relationship Id="rId682" Type="http://schemas.openxmlformats.org/officeDocument/2006/relationships/hyperlink" Target="https://hanwhavision.eu/product/SPB-VAN14W" TargetMode="External"/><Relationship Id="rId681" Type="http://schemas.openxmlformats.org/officeDocument/2006/relationships/hyperlink" Target="https://hanwhavision.eu/product/SPB-VAN16W" TargetMode="External"/><Relationship Id="rId680" Type="http://schemas.openxmlformats.org/officeDocument/2006/relationships/hyperlink" Target="https://hanwhavision.eu/product/spb-van12/" TargetMode="External"/><Relationship Id="rId202" Type="http://schemas.openxmlformats.org/officeDocument/2006/relationships/hyperlink" Target="https://hanwhavision.eu/product/xnb-6000/" TargetMode="External"/><Relationship Id="rId444" Type="http://schemas.openxmlformats.org/officeDocument/2006/relationships/hyperlink" Target="https://hanwhavision.eu/product/sla-2m1200p/" TargetMode="External"/><Relationship Id="rId686" Type="http://schemas.openxmlformats.org/officeDocument/2006/relationships/hyperlink" Target="https://hanwhavision.eu/product/SPB-VAN82W" TargetMode="External"/><Relationship Id="rId201" Type="http://schemas.openxmlformats.org/officeDocument/2006/relationships/hyperlink" Target="https://hanwhavision.eu/product/xnv-6081/" TargetMode="External"/><Relationship Id="rId443" Type="http://schemas.openxmlformats.org/officeDocument/2006/relationships/hyperlink" Target="https://hanwhavision.eu/product/sla-2m6000p/" TargetMode="External"/><Relationship Id="rId685" Type="http://schemas.openxmlformats.org/officeDocument/2006/relationships/hyperlink" Target="https://hanwhavision.eu/product/spb-van72/" TargetMode="External"/><Relationship Id="rId200" Type="http://schemas.openxmlformats.org/officeDocument/2006/relationships/hyperlink" Target="https://hanwhavision.eu/product/xnv-6081rev/" TargetMode="External"/><Relationship Id="rId442" Type="http://schemas.openxmlformats.org/officeDocument/2006/relationships/hyperlink" Target="https://hanwhavision.eu/product/sla-2m3600p/" TargetMode="External"/><Relationship Id="rId684" Type="http://schemas.openxmlformats.org/officeDocument/2006/relationships/hyperlink" Target="https://hanwhavision.eu/product/SPG-VAN23W" TargetMode="External"/><Relationship Id="rId441" Type="http://schemas.openxmlformats.org/officeDocument/2006/relationships/hyperlink" Target="https://hanwhavision.eu/product/sla-2m2400p/" TargetMode="External"/><Relationship Id="rId683" Type="http://schemas.openxmlformats.org/officeDocument/2006/relationships/hyperlink" Target="https://hanwhavision.eu/product/SPB-VAN23W" TargetMode="External"/><Relationship Id="rId437" Type="http://schemas.openxmlformats.org/officeDocument/2006/relationships/hyperlink" Target="https://hanwhavision.eu/product/sla-2m3600q/" TargetMode="External"/><Relationship Id="rId679" Type="http://schemas.openxmlformats.org/officeDocument/2006/relationships/hyperlink" Target="https://hanwhavision.eu/product/spb-van11/" TargetMode="External"/><Relationship Id="rId436" Type="http://schemas.openxmlformats.org/officeDocument/2006/relationships/hyperlink" Target="https://hanwhavision.eu/product/SLA-F4780VA" TargetMode="External"/><Relationship Id="rId678" Type="http://schemas.openxmlformats.org/officeDocument/2006/relationships/hyperlink" Target="https://hanwhavision.eu/product/spb-van3/" TargetMode="External"/><Relationship Id="rId435" Type="http://schemas.openxmlformats.org/officeDocument/2006/relationships/hyperlink" Target="https://hanwhavision.eu/product/SLA-F4780A" TargetMode="External"/><Relationship Id="rId677" Type="http://schemas.openxmlformats.org/officeDocument/2006/relationships/hyperlink" Target="https://hanwhavision.eu/product/SPB-PTZ95W" TargetMode="External"/><Relationship Id="rId434" Type="http://schemas.openxmlformats.org/officeDocument/2006/relationships/hyperlink" Target="https://hanwhavision.eu/product/SLA-F2480VA" TargetMode="External"/><Relationship Id="rId676" Type="http://schemas.openxmlformats.org/officeDocument/2006/relationships/hyperlink" Target="https://hanwhavision.eu/product/SPB-PTZ82W" TargetMode="External"/><Relationship Id="rId439" Type="http://schemas.openxmlformats.org/officeDocument/2006/relationships/hyperlink" Target="https://hanwhavision.eu/product/sla-5m4600p/" TargetMode="External"/><Relationship Id="rId438" Type="http://schemas.openxmlformats.org/officeDocument/2006/relationships/hyperlink" Target="https://hanwhavision.eu/product/sla-5m3700p/" TargetMode="External"/><Relationship Id="rId671" Type="http://schemas.openxmlformats.org/officeDocument/2006/relationships/hyperlink" Target="https://hanwhavision.eu/product/sbp-scp-sn/" TargetMode="External"/><Relationship Id="rId670" Type="http://schemas.openxmlformats.org/officeDocument/2006/relationships/hyperlink" Target="https://hanwhavision.eu/product/sbv-215wcw/" TargetMode="External"/><Relationship Id="rId433" Type="http://schemas.openxmlformats.org/officeDocument/2006/relationships/hyperlink" Target="https://hanwhavision.eu/product/SLA-F2480A" TargetMode="External"/><Relationship Id="rId675" Type="http://schemas.openxmlformats.org/officeDocument/2006/relationships/hyperlink" Target="https://hanwhavision.eu/product/spb-ptz73/" TargetMode="External"/><Relationship Id="rId432" Type="http://schemas.openxmlformats.org/officeDocument/2006/relationships/hyperlink" Target="https://hanwhavision.eu/product/SLA-F2480WDA" TargetMode="External"/><Relationship Id="rId674" Type="http://schemas.openxmlformats.org/officeDocument/2006/relationships/hyperlink" Target="https://hanwhavision.eu/product/spb-ptz6/" TargetMode="External"/><Relationship Id="rId431" Type="http://schemas.openxmlformats.org/officeDocument/2006/relationships/hyperlink" Target="https://hanwhavision.eu/product/SLA-F2480WA" TargetMode="External"/><Relationship Id="rId673" Type="http://schemas.openxmlformats.org/officeDocument/2006/relationships/hyperlink" Target="https://hanwhavision.eu/product/sbe-100b/" TargetMode="External"/><Relationship Id="rId430" Type="http://schemas.openxmlformats.org/officeDocument/2006/relationships/hyperlink" Target="https://hanwhavision.eu/product/SLA-F1080FA" TargetMode="External"/><Relationship Id="rId672" Type="http://schemas.openxmlformats.org/officeDocument/2006/relationships/hyperlink" Target="https://hanwhavision.eu/product/sbp-300n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4.43" defaultRowHeight="15.0" outlineLevelCol="1"/>
  <cols>
    <col customWidth="1" min="1" max="1" width="3.29"/>
    <col customWidth="1" min="2" max="2" width="36.29"/>
    <col customWidth="1" min="3" max="3" width="48.71"/>
    <col customWidth="1" min="4" max="4" width="70.29"/>
    <col customWidth="1" hidden="1" min="5" max="7" width="16.71" outlineLevel="1"/>
    <col customWidth="1" hidden="1" min="8" max="8" width="43.71" outlineLevel="1"/>
    <col customWidth="1" min="9" max="9" width="131.71"/>
    <col customWidth="1" min="10" max="12" width="16.71"/>
    <col customWidth="1" min="13" max="15" width="8.86"/>
    <col customWidth="1" min="16" max="16" width="20.29"/>
    <col customWidth="1" min="17" max="17" width="11.43"/>
    <col customWidth="1" min="18" max="18" width="7.0"/>
    <col customWidth="1" min="19" max="19" width="8.29"/>
    <col customWidth="1" min="20" max="20" width="9.71"/>
    <col customWidth="1" min="21" max="21" width="5.71"/>
    <col customWidth="1" min="22" max="32" width="8.86"/>
  </cols>
  <sheetData>
    <row r="1" ht="15.0" customHeight="1">
      <c r="A1" s="1"/>
      <c r="B1" s="2"/>
      <c r="C1" s="2"/>
      <c r="D1" s="3"/>
      <c r="E1" s="3"/>
      <c r="F1" s="3"/>
      <c r="G1" s="3"/>
      <c r="H1" s="4"/>
      <c r="I1" s="5"/>
      <c r="J1" s="6"/>
      <c r="K1" s="7"/>
      <c r="L1" s="8"/>
      <c r="M1" s="9"/>
      <c r="N1" s="9"/>
      <c r="O1" s="9"/>
      <c r="P1" s="10"/>
      <c r="Q1" s="11"/>
      <c r="R1" s="11"/>
      <c r="S1" s="11"/>
      <c r="T1" s="11"/>
      <c r="U1" s="11"/>
      <c r="V1" s="11"/>
      <c r="W1" s="11"/>
      <c r="X1" s="11"/>
      <c r="Y1" s="11"/>
      <c r="Z1" s="12"/>
      <c r="AA1" s="12"/>
      <c r="AB1" s="12"/>
      <c r="AC1" s="12"/>
      <c r="AD1" s="12"/>
      <c r="AE1" s="12"/>
      <c r="AF1" s="12"/>
    </row>
    <row r="2" ht="30.0" customHeight="1">
      <c r="A2" s="13"/>
      <c r="B2" s="14"/>
      <c r="C2" s="14"/>
      <c r="D2" s="14"/>
      <c r="E2" s="14"/>
      <c r="F2" s="14"/>
      <c r="G2" s="14"/>
      <c r="H2" s="15" t="s">
        <v>0</v>
      </c>
      <c r="I2" s="16"/>
      <c r="J2" s="14"/>
      <c r="K2" s="14"/>
      <c r="L2" s="13"/>
      <c r="M2" s="13"/>
      <c r="N2" s="13"/>
      <c r="O2" s="13"/>
      <c r="P2" s="13"/>
      <c r="Q2" s="13"/>
      <c r="R2" s="13"/>
      <c r="S2" s="13"/>
      <c r="T2" s="13"/>
      <c r="U2" s="13"/>
      <c r="V2" s="13"/>
      <c r="W2" s="13"/>
      <c r="X2" s="13"/>
      <c r="Y2" s="13"/>
      <c r="Z2" s="13"/>
      <c r="AA2" s="13"/>
      <c r="AB2" s="13"/>
      <c r="AC2" s="13"/>
      <c r="AD2" s="13"/>
      <c r="AE2" s="13"/>
      <c r="AF2" s="13"/>
    </row>
    <row r="3" ht="46.5" customHeight="1">
      <c r="A3" s="13"/>
      <c r="B3" s="17" t="s">
        <v>1</v>
      </c>
      <c r="C3" s="18"/>
      <c r="D3" s="19"/>
      <c r="E3" s="20"/>
      <c r="F3" s="21"/>
      <c r="G3" s="22"/>
      <c r="H3" s="13"/>
      <c r="I3" s="13"/>
      <c r="J3" s="13"/>
      <c r="K3" s="13"/>
      <c r="L3" s="13"/>
      <c r="M3" s="13"/>
      <c r="N3" s="13"/>
      <c r="O3" s="13"/>
      <c r="P3" s="13"/>
      <c r="Q3" s="13"/>
      <c r="R3" s="13"/>
      <c r="S3" s="13"/>
      <c r="T3" s="13"/>
      <c r="U3" s="13"/>
      <c r="V3" s="13"/>
      <c r="W3" s="13"/>
      <c r="X3" s="13"/>
      <c r="Y3" s="13"/>
      <c r="Z3" s="13"/>
      <c r="AA3" s="13"/>
      <c r="AB3" s="13"/>
      <c r="AC3" s="13"/>
      <c r="AD3" s="13"/>
      <c r="AE3" s="13"/>
      <c r="AF3" s="13"/>
    </row>
    <row r="4" ht="3.0" customHeight="1">
      <c r="A4" s="1"/>
      <c r="B4" s="5"/>
      <c r="C4" s="2"/>
      <c r="D4" s="2"/>
      <c r="E4" s="23"/>
      <c r="F4" s="23"/>
      <c r="G4" s="23"/>
      <c r="H4" s="24"/>
      <c r="I4" s="25"/>
      <c r="J4" s="26"/>
      <c r="K4" s="27" t="s">
        <v>2</v>
      </c>
      <c r="L4" s="28"/>
      <c r="M4" s="9"/>
      <c r="N4" s="9"/>
      <c r="O4" s="9"/>
      <c r="P4" s="10"/>
      <c r="Q4" s="11"/>
      <c r="R4" s="11"/>
      <c r="S4" s="11"/>
      <c r="T4" s="11"/>
      <c r="U4" s="11"/>
      <c r="V4" s="11"/>
      <c r="W4" s="11"/>
      <c r="X4" s="11"/>
      <c r="Y4" s="11"/>
      <c r="Z4" s="12"/>
      <c r="AA4" s="12"/>
      <c r="AB4" s="12"/>
      <c r="AC4" s="12"/>
      <c r="AD4" s="12"/>
      <c r="AE4" s="12"/>
      <c r="AF4" s="12"/>
    </row>
    <row r="5" ht="41.25" customHeight="1">
      <c r="A5" s="29"/>
      <c r="B5" s="30"/>
      <c r="C5" s="31" t="s">
        <v>3</v>
      </c>
      <c r="D5" s="31" t="s">
        <v>4</v>
      </c>
      <c r="E5" s="31" t="s">
        <v>5</v>
      </c>
      <c r="F5" s="31" t="s">
        <v>6</v>
      </c>
      <c r="G5" s="31" t="s">
        <v>7</v>
      </c>
      <c r="H5" s="32" t="s">
        <v>8</v>
      </c>
      <c r="I5" s="31" t="s">
        <v>9</v>
      </c>
      <c r="J5" s="31" t="s">
        <v>10</v>
      </c>
      <c r="K5" s="33" t="s">
        <v>11</v>
      </c>
      <c r="L5" s="34" t="s">
        <v>12</v>
      </c>
      <c r="M5" s="35"/>
      <c r="N5" s="35"/>
      <c r="O5" s="35"/>
      <c r="P5" s="10"/>
      <c r="Q5" s="36"/>
      <c r="R5" s="36"/>
      <c r="S5" s="36"/>
      <c r="T5" s="36"/>
      <c r="U5" s="36"/>
      <c r="V5" s="36"/>
      <c r="W5" s="36"/>
      <c r="X5" s="36"/>
      <c r="Y5" s="36"/>
      <c r="Z5" s="37"/>
      <c r="AA5" s="37"/>
      <c r="AB5" s="37"/>
      <c r="AC5" s="37"/>
      <c r="AD5" s="37"/>
      <c r="AE5" s="37"/>
      <c r="AF5" s="37"/>
    </row>
    <row r="6" ht="45.0" customHeight="1">
      <c r="A6" s="29"/>
      <c r="B6" s="38" t="s">
        <v>13</v>
      </c>
      <c r="C6" s="39" t="s">
        <v>14</v>
      </c>
      <c r="D6" s="40" t="s">
        <v>15</v>
      </c>
      <c r="E6" s="40" t="s">
        <v>16</v>
      </c>
      <c r="F6" s="40" t="s">
        <v>17</v>
      </c>
      <c r="G6" s="39" t="s">
        <v>18</v>
      </c>
      <c r="H6" s="41" t="s">
        <v>19</v>
      </c>
      <c r="I6" s="42" t="s">
        <v>20</v>
      </c>
      <c r="J6" s="43" t="s">
        <v>21</v>
      </c>
      <c r="K6" s="44">
        <v>2510.0</v>
      </c>
      <c r="L6" s="45" t="s">
        <v>22</v>
      </c>
      <c r="M6" s="35"/>
      <c r="N6" s="35"/>
      <c r="O6" s="35"/>
      <c r="P6" s="46"/>
      <c r="Q6" s="35"/>
      <c r="R6" s="35"/>
      <c r="S6" s="35"/>
      <c r="T6" s="35"/>
      <c r="U6" s="35"/>
      <c r="V6" s="35"/>
      <c r="W6" s="35"/>
      <c r="X6" s="35"/>
      <c r="Y6" s="35"/>
      <c r="Z6" s="47"/>
      <c r="AA6" s="47"/>
      <c r="AB6" s="47"/>
      <c r="AC6" s="47"/>
      <c r="AD6" s="47"/>
      <c r="AE6" s="47"/>
      <c r="AF6" s="47"/>
    </row>
    <row r="7" ht="36.0" customHeight="1">
      <c r="A7" s="29"/>
      <c r="B7" s="38" t="s">
        <v>23</v>
      </c>
      <c r="C7" s="39" t="s">
        <v>24</v>
      </c>
      <c r="D7" s="40" t="s">
        <v>25</v>
      </c>
      <c r="E7" s="40"/>
      <c r="F7" s="40"/>
      <c r="G7" s="39" t="s">
        <v>26</v>
      </c>
      <c r="H7" s="41" t="s">
        <v>19</v>
      </c>
      <c r="I7" s="42" t="s">
        <v>27</v>
      </c>
      <c r="J7" s="43" t="s">
        <v>21</v>
      </c>
      <c r="K7" s="44">
        <v>300.0</v>
      </c>
      <c r="L7" s="45" t="s">
        <v>22</v>
      </c>
      <c r="M7" s="35"/>
      <c r="N7" s="35"/>
      <c r="O7" s="35"/>
      <c r="P7" s="46"/>
      <c r="Q7" s="35"/>
      <c r="R7" s="35"/>
      <c r="S7" s="35"/>
      <c r="T7" s="35"/>
      <c r="U7" s="35"/>
      <c r="V7" s="35"/>
      <c r="W7" s="35"/>
      <c r="X7" s="35"/>
      <c r="Y7" s="35"/>
      <c r="Z7" s="47"/>
      <c r="AA7" s="47"/>
      <c r="AB7" s="47"/>
      <c r="AC7" s="47"/>
      <c r="AD7" s="47"/>
      <c r="AE7" s="47"/>
      <c r="AF7" s="47"/>
    </row>
    <row r="8" ht="36.0" customHeight="1">
      <c r="A8" s="29"/>
      <c r="B8" s="38" t="s">
        <v>23</v>
      </c>
      <c r="C8" s="39" t="s">
        <v>28</v>
      </c>
      <c r="D8" s="40" t="s">
        <v>25</v>
      </c>
      <c r="E8" s="40"/>
      <c r="F8" s="40"/>
      <c r="G8" s="39" t="s">
        <v>26</v>
      </c>
      <c r="H8" s="41" t="s">
        <v>19</v>
      </c>
      <c r="I8" s="42" t="s">
        <v>29</v>
      </c>
      <c r="J8" s="43" t="s">
        <v>21</v>
      </c>
      <c r="K8" s="44">
        <v>300.0</v>
      </c>
      <c r="L8" s="45" t="s">
        <v>22</v>
      </c>
      <c r="M8" s="35"/>
      <c r="N8" s="35"/>
      <c r="O8" s="35"/>
      <c r="P8" s="46"/>
      <c r="Q8" s="35"/>
      <c r="R8" s="35"/>
      <c r="S8" s="35"/>
      <c r="T8" s="35"/>
      <c r="U8" s="35"/>
      <c r="V8" s="35"/>
      <c r="W8" s="35"/>
      <c r="X8" s="35"/>
      <c r="Y8" s="35"/>
      <c r="Z8" s="47"/>
      <c r="AA8" s="47"/>
      <c r="AB8" s="47"/>
      <c r="AC8" s="47"/>
      <c r="AD8" s="47"/>
      <c r="AE8" s="47"/>
      <c r="AF8" s="47"/>
    </row>
    <row r="9" ht="36.0" customHeight="1">
      <c r="A9" s="29"/>
      <c r="B9" s="38" t="s">
        <v>23</v>
      </c>
      <c r="C9" s="39" t="s">
        <v>30</v>
      </c>
      <c r="D9" s="40" t="s">
        <v>25</v>
      </c>
      <c r="E9" s="40"/>
      <c r="F9" s="40"/>
      <c r="G9" s="39" t="s">
        <v>26</v>
      </c>
      <c r="H9" s="41" t="s">
        <v>19</v>
      </c>
      <c r="I9" s="42" t="s">
        <v>31</v>
      </c>
      <c r="J9" s="43" t="s">
        <v>21</v>
      </c>
      <c r="K9" s="44">
        <v>300.0</v>
      </c>
      <c r="L9" s="45" t="s">
        <v>22</v>
      </c>
      <c r="M9" s="35"/>
      <c r="N9" s="35"/>
      <c r="O9" s="35"/>
      <c r="P9" s="46"/>
      <c r="Q9" s="35"/>
      <c r="R9" s="35"/>
      <c r="S9" s="35"/>
      <c r="T9" s="35"/>
      <c r="U9" s="35"/>
      <c r="V9" s="35"/>
      <c r="W9" s="35"/>
      <c r="X9" s="35"/>
      <c r="Y9" s="35"/>
      <c r="Z9" s="47"/>
      <c r="AA9" s="47"/>
      <c r="AB9" s="47"/>
      <c r="AC9" s="47"/>
      <c r="AD9" s="47"/>
      <c r="AE9" s="47"/>
      <c r="AF9" s="47"/>
    </row>
    <row r="10" ht="36.0" customHeight="1">
      <c r="A10" s="29"/>
      <c r="B10" s="38" t="s">
        <v>23</v>
      </c>
      <c r="C10" s="39" t="s">
        <v>32</v>
      </c>
      <c r="D10" s="40" t="s">
        <v>25</v>
      </c>
      <c r="E10" s="40"/>
      <c r="F10" s="40"/>
      <c r="G10" s="39" t="s">
        <v>26</v>
      </c>
      <c r="H10" s="41" t="s">
        <v>19</v>
      </c>
      <c r="I10" s="42" t="s">
        <v>33</v>
      </c>
      <c r="J10" s="43" t="s">
        <v>21</v>
      </c>
      <c r="K10" s="44">
        <v>300.0</v>
      </c>
      <c r="L10" s="45" t="s">
        <v>22</v>
      </c>
      <c r="M10" s="35"/>
      <c r="N10" s="35"/>
      <c r="O10" s="35"/>
      <c r="P10" s="46"/>
      <c r="Q10" s="35"/>
      <c r="R10" s="35"/>
      <c r="S10" s="35"/>
      <c r="T10" s="35"/>
      <c r="U10" s="35"/>
      <c r="V10" s="35"/>
      <c r="W10" s="35"/>
      <c r="X10" s="35"/>
      <c r="Y10" s="35"/>
      <c r="Z10" s="47"/>
      <c r="AA10" s="47"/>
      <c r="AB10" s="47"/>
      <c r="AC10" s="47"/>
      <c r="AD10" s="47"/>
      <c r="AE10" s="47"/>
      <c r="AF10" s="47"/>
    </row>
    <row r="11" ht="36.0" customHeight="1">
      <c r="A11" s="29"/>
      <c r="B11" s="38" t="s">
        <v>23</v>
      </c>
      <c r="C11" s="39" t="s">
        <v>34</v>
      </c>
      <c r="D11" s="40" t="s">
        <v>25</v>
      </c>
      <c r="E11" s="40"/>
      <c r="F11" s="40"/>
      <c r="G11" s="39" t="s">
        <v>26</v>
      </c>
      <c r="H11" s="41" t="s">
        <v>19</v>
      </c>
      <c r="I11" s="42" t="s">
        <v>35</v>
      </c>
      <c r="J11" s="43" t="s">
        <v>21</v>
      </c>
      <c r="K11" s="44">
        <v>300.0</v>
      </c>
      <c r="L11" s="45" t="s">
        <v>22</v>
      </c>
      <c r="M11" s="35"/>
      <c r="N11" s="35"/>
      <c r="O11" s="35"/>
      <c r="P11" s="46"/>
      <c r="Q11" s="35"/>
      <c r="R11" s="35"/>
      <c r="S11" s="35"/>
      <c r="T11" s="35"/>
      <c r="U11" s="35"/>
      <c r="V11" s="35"/>
      <c r="W11" s="35"/>
      <c r="X11" s="35"/>
      <c r="Y11" s="35"/>
      <c r="Z11" s="47"/>
      <c r="AA11" s="47"/>
      <c r="AB11" s="47"/>
      <c r="AC11" s="47"/>
      <c r="AD11" s="47"/>
      <c r="AE11" s="47"/>
      <c r="AF11" s="47"/>
    </row>
    <row r="12" ht="36.0" customHeight="1">
      <c r="A12" s="29"/>
      <c r="B12" s="38" t="s">
        <v>23</v>
      </c>
      <c r="C12" s="39" t="s">
        <v>36</v>
      </c>
      <c r="D12" s="40" t="s">
        <v>37</v>
      </c>
      <c r="E12" s="40"/>
      <c r="F12" s="40"/>
      <c r="G12" s="39" t="s">
        <v>38</v>
      </c>
      <c r="H12" s="41" t="s">
        <v>19</v>
      </c>
      <c r="I12" s="42" t="s">
        <v>39</v>
      </c>
      <c r="J12" s="43" t="s">
        <v>21</v>
      </c>
      <c r="K12" s="44">
        <v>100.0</v>
      </c>
      <c r="L12" s="45" t="s">
        <v>22</v>
      </c>
      <c r="M12" s="35"/>
      <c r="N12" s="35"/>
      <c r="O12" s="35"/>
      <c r="P12" s="46"/>
      <c r="Q12" s="35"/>
      <c r="R12" s="35"/>
      <c r="S12" s="35"/>
      <c r="T12" s="35"/>
      <c r="U12" s="35"/>
      <c r="V12" s="35"/>
      <c r="W12" s="35"/>
      <c r="X12" s="35"/>
      <c r="Y12" s="35"/>
      <c r="Z12" s="47"/>
      <c r="AA12" s="47"/>
      <c r="AB12" s="47"/>
      <c r="AC12" s="47"/>
      <c r="AD12" s="47"/>
      <c r="AE12" s="47"/>
      <c r="AF12" s="47"/>
    </row>
    <row r="13" ht="36.0" customHeight="1">
      <c r="A13" s="29"/>
      <c r="B13" s="38" t="s">
        <v>23</v>
      </c>
      <c r="C13" s="39" t="s">
        <v>40</v>
      </c>
      <c r="D13" s="40" t="s">
        <v>41</v>
      </c>
      <c r="E13" s="40"/>
      <c r="F13" s="40"/>
      <c r="G13" s="39" t="s">
        <v>42</v>
      </c>
      <c r="H13" s="41" t="s">
        <v>19</v>
      </c>
      <c r="I13" s="42" t="s">
        <v>43</v>
      </c>
      <c r="J13" s="43" t="s">
        <v>21</v>
      </c>
      <c r="K13" s="44">
        <v>720.0</v>
      </c>
      <c r="L13" s="45" t="s">
        <v>22</v>
      </c>
      <c r="M13" s="35"/>
      <c r="N13" s="35"/>
      <c r="O13" s="35"/>
      <c r="P13" s="46"/>
      <c r="Q13" s="35"/>
      <c r="R13" s="35"/>
      <c r="S13" s="35"/>
      <c r="T13" s="35"/>
      <c r="U13" s="35"/>
      <c r="V13" s="35"/>
      <c r="W13" s="35"/>
      <c r="X13" s="35"/>
      <c r="Y13" s="35"/>
      <c r="Z13" s="47"/>
      <c r="AA13" s="47"/>
      <c r="AB13" s="47"/>
      <c r="AC13" s="47"/>
      <c r="AD13" s="47"/>
      <c r="AE13" s="47"/>
      <c r="AF13" s="47"/>
    </row>
    <row r="14" ht="36.0" customHeight="1">
      <c r="A14" s="29"/>
      <c r="B14" s="38" t="s">
        <v>23</v>
      </c>
      <c r="C14" s="39" t="s">
        <v>44</v>
      </c>
      <c r="D14" s="40" t="s">
        <v>41</v>
      </c>
      <c r="E14" s="40"/>
      <c r="F14" s="40"/>
      <c r="G14" s="39" t="s">
        <v>42</v>
      </c>
      <c r="H14" s="41" t="s">
        <v>19</v>
      </c>
      <c r="I14" s="42" t="s">
        <v>45</v>
      </c>
      <c r="J14" s="43" t="s">
        <v>21</v>
      </c>
      <c r="K14" s="44">
        <v>720.0</v>
      </c>
      <c r="L14" s="45" t="s">
        <v>22</v>
      </c>
      <c r="M14" s="35"/>
      <c r="N14" s="35"/>
      <c r="O14" s="35"/>
      <c r="P14" s="46"/>
      <c r="Q14" s="35"/>
      <c r="R14" s="35"/>
      <c r="S14" s="35"/>
      <c r="T14" s="35"/>
      <c r="U14" s="35"/>
      <c r="V14" s="35"/>
      <c r="W14" s="35"/>
      <c r="X14" s="35"/>
      <c r="Y14" s="35"/>
      <c r="Z14" s="47"/>
      <c r="AA14" s="47"/>
      <c r="AB14" s="47"/>
      <c r="AC14" s="47"/>
      <c r="AD14" s="47"/>
      <c r="AE14" s="47"/>
      <c r="AF14" s="47"/>
    </row>
    <row r="15" ht="36.0" customHeight="1">
      <c r="A15" s="29"/>
      <c r="B15" s="38" t="s">
        <v>23</v>
      </c>
      <c r="C15" s="39" t="s">
        <v>46</v>
      </c>
      <c r="D15" s="40" t="s">
        <v>41</v>
      </c>
      <c r="E15" s="40"/>
      <c r="F15" s="40"/>
      <c r="G15" s="39" t="s">
        <v>42</v>
      </c>
      <c r="H15" s="41" t="s">
        <v>19</v>
      </c>
      <c r="I15" s="42" t="s">
        <v>47</v>
      </c>
      <c r="J15" s="43" t="s">
        <v>21</v>
      </c>
      <c r="K15" s="44">
        <v>720.0</v>
      </c>
      <c r="L15" s="45" t="s">
        <v>22</v>
      </c>
      <c r="M15" s="35"/>
      <c r="N15" s="35"/>
      <c r="O15" s="35"/>
      <c r="P15" s="46"/>
      <c r="Q15" s="35"/>
      <c r="R15" s="35"/>
      <c r="S15" s="35"/>
      <c r="T15" s="35"/>
      <c r="U15" s="35"/>
      <c r="V15" s="35"/>
      <c r="W15" s="35"/>
      <c r="X15" s="35"/>
      <c r="Y15" s="35"/>
      <c r="Z15" s="47"/>
      <c r="AA15" s="47"/>
      <c r="AB15" s="47"/>
      <c r="AC15" s="47"/>
      <c r="AD15" s="47"/>
      <c r="AE15" s="47"/>
      <c r="AF15" s="47"/>
    </row>
    <row r="16" ht="36.0" customHeight="1">
      <c r="A16" s="29"/>
      <c r="B16" s="38" t="s">
        <v>23</v>
      </c>
      <c r="C16" s="39" t="s">
        <v>48</v>
      </c>
      <c r="D16" s="40" t="s">
        <v>41</v>
      </c>
      <c r="E16" s="40"/>
      <c r="F16" s="40"/>
      <c r="G16" s="39" t="s">
        <v>42</v>
      </c>
      <c r="H16" s="41" t="s">
        <v>19</v>
      </c>
      <c r="I16" s="42" t="s">
        <v>49</v>
      </c>
      <c r="J16" s="43" t="s">
        <v>21</v>
      </c>
      <c r="K16" s="44">
        <v>720.0</v>
      </c>
      <c r="L16" s="45" t="s">
        <v>22</v>
      </c>
      <c r="M16" s="35"/>
      <c r="N16" s="35"/>
      <c r="O16" s="35"/>
      <c r="P16" s="46"/>
      <c r="Q16" s="35"/>
      <c r="R16" s="35"/>
      <c r="S16" s="35"/>
      <c r="T16" s="35"/>
      <c r="U16" s="35"/>
      <c r="V16" s="35"/>
      <c r="W16" s="35"/>
      <c r="X16" s="35"/>
      <c r="Y16" s="35"/>
      <c r="Z16" s="47"/>
      <c r="AA16" s="47"/>
      <c r="AB16" s="47"/>
      <c r="AC16" s="47"/>
      <c r="AD16" s="47"/>
      <c r="AE16" s="47"/>
      <c r="AF16" s="47"/>
    </row>
    <row r="17" ht="36.0" customHeight="1">
      <c r="A17" s="29"/>
      <c r="B17" s="38" t="s">
        <v>23</v>
      </c>
      <c r="C17" s="39" t="s">
        <v>50</v>
      </c>
      <c r="D17" s="40" t="s">
        <v>51</v>
      </c>
      <c r="E17" s="40"/>
      <c r="F17" s="40"/>
      <c r="G17" s="39" t="s">
        <v>42</v>
      </c>
      <c r="H17" s="41" t="s">
        <v>19</v>
      </c>
      <c r="I17" s="42" t="s">
        <v>52</v>
      </c>
      <c r="J17" s="43" t="s">
        <v>21</v>
      </c>
      <c r="K17" s="44">
        <v>720.0</v>
      </c>
      <c r="L17" s="45" t="s">
        <v>22</v>
      </c>
      <c r="M17" s="35"/>
      <c r="N17" s="35"/>
      <c r="O17" s="35"/>
      <c r="P17" s="46"/>
      <c r="Q17" s="35"/>
      <c r="R17" s="35"/>
      <c r="S17" s="35"/>
      <c r="T17" s="35"/>
      <c r="U17" s="35"/>
      <c r="V17" s="35"/>
      <c r="W17" s="35"/>
      <c r="X17" s="35"/>
      <c r="Y17" s="35"/>
      <c r="Z17" s="47"/>
      <c r="AA17" s="47"/>
      <c r="AB17" s="47"/>
      <c r="AC17" s="47"/>
      <c r="AD17" s="47"/>
      <c r="AE17" s="47"/>
      <c r="AF17" s="47"/>
    </row>
    <row r="18" ht="36.0" customHeight="1">
      <c r="A18" s="29"/>
      <c r="B18" s="38" t="s">
        <v>23</v>
      </c>
      <c r="C18" s="39" t="s">
        <v>53</v>
      </c>
      <c r="D18" s="40" t="s">
        <v>51</v>
      </c>
      <c r="E18" s="40"/>
      <c r="F18" s="40"/>
      <c r="G18" s="39" t="s">
        <v>42</v>
      </c>
      <c r="H18" s="41" t="s">
        <v>19</v>
      </c>
      <c r="I18" s="42" t="s">
        <v>54</v>
      </c>
      <c r="J18" s="43" t="s">
        <v>21</v>
      </c>
      <c r="K18" s="44">
        <v>720.0</v>
      </c>
      <c r="L18" s="45" t="s">
        <v>22</v>
      </c>
      <c r="M18" s="35"/>
      <c r="N18" s="35"/>
      <c r="O18" s="35"/>
      <c r="P18" s="46"/>
      <c r="Q18" s="35"/>
      <c r="R18" s="35"/>
      <c r="S18" s="35"/>
      <c r="T18" s="35"/>
      <c r="U18" s="35"/>
      <c r="V18" s="35"/>
      <c r="W18" s="35"/>
      <c r="X18" s="35"/>
      <c r="Y18" s="35"/>
      <c r="Z18" s="47"/>
      <c r="AA18" s="47"/>
      <c r="AB18" s="47"/>
      <c r="AC18" s="47"/>
      <c r="AD18" s="47"/>
      <c r="AE18" s="47"/>
      <c r="AF18" s="47"/>
    </row>
    <row r="19" ht="36.0" customHeight="1">
      <c r="A19" s="29"/>
      <c r="B19" s="38" t="s">
        <v>23</v>
      </c>
      <c r="C19" s="39" t="s">
        <v>55</v>
      </c>
      <c r="D19" s="40" t="s">
        <v>51</v>
      </c>
      <c r="E19" s="40"/>
      <c r="F19" s="40"/>
      <c r="G19" s="39" t="s">
        <v>42</v>
      </c>
      <c r="H19" s="41" t="s">
        <v>19</v>
      </c>
      <c r="I19" s="42" t="s">
        <v>56</v>
      </c>
      <c r="J19" s="43" t="s">
        <v>21</v>
      </c>
      <c r="K19" s="44">
        <v>720.0</v>
      </c>
      <c r="L19" s="45" t="s">
        <v>22</v>
      </c>
      <c r="M19" s="35"/>
      <c r="N19" s="35"/>
      <c r="O19" s="35"/>
      <c r="P19" s="46"/>
      <c r="Q19" s="35"/>
      <c r="R19" s="35"/>
      <c r="S19" s="35"/>
      <c r="T19" s="35"/>
      <c r="U19" s="35"/>
      <c r="V19" s="35"/>
      <c r="W19" s="35"/>
      <c r="X19" s="35"/>
      <c r="Y19" s="35"/>
      <c r="Z19" s="47"/>
      <c r="AA19" s="47"/>
      <c r="AB19" s="47"/>
      <c r="AC19" s="47"/>
      <c r="AD19" s="47"/>
      <c r="AE19" s="47"/>
      <c r="AF19" s="47"/>
    </row>
    <row r="20" ht="36.0" customHeight="1">
      <c r="A20" s="29"/>
      <c r="B20" s="38" t="s">
        <v>23</v>
      </c>
      <c r="C20" s="39" t="s">
        <v>57</v>
      </c>
      <c r="D20" s="40" t="s">
        <v>51</v>
      </c>
      <c r="E20" s="40"/>
      <c r="F20" s="40"/>
      <c r="G20" s="39" t="s">
        <v>42</v>
      </c>
      <c r="H20" s="41" t="s">
        <v>19</v>
      </c>
      <c r="I20" s="42" t="s">
        <v>58</v>
      </c>
      <c r="J20" s="43" t="s">
        <v>21</v>
      </c>
      <c r="K20" s="44">
        <v>720.0</v>
      </c>
      <c r="L20" s="45" t="s">
        <v>22</v>
      </c>
      <c r="M20" s="35"/>
      <c r="N20" s="35"/>
      <c r="O20" s="35"/>
      <c r="P20" s="46"/>
      <c r="Q20" s="35"/>
      <c r="R20" s="35"/>
      <c r="S20" s="35"/>
      <c r="T20" s="35"/>
      <c r="U20" s="35"/>
      <c r="V20" s="35"/>
      <c r="W20" s="35"/>
      <c r="X20" s="35"/>
      <c r="Y20" s="35"/>
      <c r="Z20" s="47"/>
      <c r="AA20" s="47"/>
      <c r="AB20" s="47"/>
      <c r="AC20" s="47"/>
      <c r="AD20" s="47"/>
      <c r="AE20" s="47"/>
      <c r="AF20" s="47"/>
    </row>
    <row r="21" ht="36.0" customHeight="1">
      <c r="A21" s="29"/>
      <c r="B21" s="38" t="s">
        <v>23</v>
      </c>
      <c r="C21" s="39" t="s">
        <v>59</v>
      </c>
      <c r="D21" s="40" t="s">
        <v>60</v>
      </c>
      <c r="E21" s="40"/>
      <c r="F21" s="40"/>
      <c r="G21" s="39" t="s">
        <v>42</v>
      </c>
      <c r="H21" s="41" t="s">
        <v>19</v>
      </c>
      <c r="I21" s="42" t="s">
        <v>61</v>
      </c>
      <c r="J21" s="43" t="s">
        <v>21</v>
      </c>
      <c r="K21" s="44">
        <v>720.0</v>
      </c>
      <c r="L21" s="45" t="s">
        <v>22</v>
      </c>
      <c r="M21" s="35"/>
      <c r="N21" s="35"/>
      <c r="O21" s="35"/>
      <c r="P21" s="46"/>
      <c r="Q21" s="35"/>
      <c r="R21" s="35"/>
      <c r="S21" s="35"/>
      <c r="T21" s="35"/>
      <c r="U21" s="35"/>
      <c r="V21" s="35"/>
      <c r="W21" s="35"/>
      <c r="X21" s="35"/>
      <c r="Y21" s="35"/>
      <c r="Z21" s="47"/>
      <c r="AA21" s="47"/>
      <c r="AB21" s="47"/>
      <c r="AC21" s="47"/>
      <c r="AD21" s="47"/>
      <c r="AE21" s="47"/>
      <c r="AF21" s="47"/>
    </row>
    <row r="22" ht="36.0" customHeight="1">
      <c r="A22" s="29"/>
      <c r="B22" s="38" t="s">
        <v>23</v>
      </c>
      <c r="C22" s="39" t="s">
        <v>62</v>
      </c>
      <c r="D22" s="40" t="s">
        <v>60</v>
      </c>
      <c r="E22" s="40"/>
      <c r="F22" s="40"/>
      <c r="G22" s="39" t="s">
        <v>42</v>
      </c>
      <c r="H22" s="41" t="s">
        <v>19</v>
      </c>
      <c r="I22" s="42" t="s">
        <v>63</v>
      </c>
      <c r="J22" s="43" t="s">
        <v>21</v>
      </c>
      <c r="K22" s="44">
        <v>720.0</v>
      </c>
      <c r="L22" s="45" t="s">
        <v>22</v>
      </c>
      <c r="M22" s="35"/>
      <c r="N22" s="35"/>
      <c r="O22" s="35"/>
      <c r="P22" s="46"/>
      <c r="Q22" s="35"/>
      <c r="R22" s="35"/>
      <c r="S22" s="35"/>
      <c r="T22" s="35"/>
      <c r="U22" s="35"/>
      <c r="V22" s="35"/>
      <c r="W22" s="35"/>
      <c r="X22" s="35"/>
      <c r="Y22" s="35"/>
      <c r="Z22" s="47"/>
      <c r="AA22" s="47"/>
      <c r="AB22" s="47"/>
      <c r="AC22" s="47"/>
      <c r="AD22" s="47"/>
      <c r="AE22" s="47"/>
      <c r="AF22" s="47"/>
    </row>
    <row r="23" ht="36.0" customHeight="1">
      <c r="A23" s="29"/>
      <c r="B23" s="38" t="s">
        <v>23</v>
      </c>
      <c r="C23" s="39" t="s">
        <v>64</v>
      </c>
      <c r="D23" s="40" t="s">
        <v>60</v>
      </c>
      <c r="E23" s="40"/>
      <c r="F23" s="40"/>
      <c r="G23" s="39" t="s">
        <v>42</v>
      </c>
      <c r="H23" s="41" t="s">
        <v>19</v>
      </c>
      <c r="I23" s="42" t="s">
        <v>65</v>
      </c>
      <c r="J23" s="43" t="s">
        <v>21</v>
      </c>
      <c r="K23" s="44">
        <v>720.0</v>
      </c>
      <c r="L23" s="45" t="s">
        <v>22</v>
      </c>
      <c r="M23" s="35"/>
      <c r="N23" s="35"/>
      <c r="O23" s="35"/>
      <c r="P23" s="46"/>
      <c r="Q23" s="35"/>
      <c r="R23" s="35"/>
      <c r="S23" s="35"/>
      <c r="T23" s="35"/>
      <c r="U23" s="35"/>
      <c r="V23" s="35"/>
      <c r="W23" s="35"/>
      <c r="X23" s="35"/>
      <c r="Y23" s="35"/>
      <c r="Z23" s="47"/>
      <c r="AA23" s="47"/>
      <c r="AB23" s="47"/>
      <c r="AC23" s="47"/>
      <c r="AD23" s="47"/>
      <c r="AE23" s="47"/>
      <c r="AF23" s="47"/>
    </row>
    <row r="24" ht="36.0" customHeight="1">
      <c r="A24" s="29"/>
      <c r="B24" s="38" t="s">
        <v>23</v>
      </c>
      <c r="C24" s="39" t="s">
        <v>66</v>
      </c>
      <c r="D24" s="40" t="s">
        <v>60</v>
      </c>
      <c r="E24" s="40"/>
      <c r="F24" s="40"/>
      <c r="G24" s="39" t="s">
        <v>42</v>
      </c>
      <c r="H24" s="41" t="s">
        <v>19</v>
      </c>
      <c r="I24" s="42" t="s">
        <v>67</v>
      </c>
      <c r="J24" s="43" t="s">
        <v>21</v>
      </c>
      <c r="K24" s="44">
        <v>720.0</v>
      </c>
      <c r="L24" s="45" t="s">
        <v>22</v>
      </c>
      <c r="M24" s="35"/>
      <c r="N24" s="35"/>
      <c r="O24" s="35"/>
      <c r="P24" s="46"/>
      <c r="Q24" s="35"/>
      <c r="R24" s="35"/>
      <c r="S24" s="35"/>
      <c r="T24" s="35"/>
      <c r="U24" s="35"/>
      <c r="V24" s="35"/>
      <c r="W24" s="35"/>
      <c r="X24" s="35"/>
      <c r="Y24" s="35"/>
      <c r="Z24" s="47"/>
      <c r="AA24" s="47"/>
      <c r="AB24" s="47"/>
      <c r="AC24" s="47"/>
      <c r="AD24" s="47"/>
      <c r="AE24" s="47"/>
      <c r="AF24" s="47"/>
    </row>
    <row r="25" ht="36.0" customHeight="1">
      <c r="A25" s="29"/>
      <c r="B25" s="38" t="s">
        <v>23</v>
      </c>
      <c r="C25" s="39" t="s">
        <v>68</v>
      </c>
      <c r="D25" s="40" t="s">
        <v>69</v>
      </c>
      <c r="E25" s="40"/>
      <c r="F25" s="40"/>
      <c r="G25" s="39" t="s">
        <v>70</v>
      </c>
      <c r="H25" s="41" t="s">
        <v>19</v>
      </c>
      <c r="I25" s="42" t="s">
        <v>71</v>
      </c>
      <c r="J25" s="43" t="s">
        <v>21</v>
      </c>
      <c r="K25" s="44">
        <v>170.0</v>
      </c>
      <c r="L25" s="45" t="s">
        <v>22</v>
      </c>
      <c r="M25" s="35"/>
      <c r="N25" s="35"/>
      <c r="O25" s="35"/>
      <c r="P25" s="46"/>
      <c r="Q25" s="35"/>
      <c r="R25" s="35"/>
      <c r="S25" s="35"/>
      <c r="T25" s="35"/>
      <c r="U25" s="35"/>
      <c r="V25" s="35"/>
      <c r="W25" s="35"/>
      <c r="X25" s="35"/>
      <c r="Y25" s="35"/>
      <c r="Z25" s="47"/>
      <c r="AA25" s="47"/>
      <c r="AB25" s="47"/>
      <c r="AC25" s="47"/>
      <c r="AD25" s="47"/>
      <c r="AE25" s="47"/>
      <c r="AF25" s="47"/>
    </row>
    <row r="26" ht="36.0" customHeight="1">
      <c r="A26" s="29"/>
      <c r="B26" s="38" t="s">
        <v>23</v>
      </c>
      <c r="C26" s="39" t="s">
        <v>72</v>
      </c>
      <c r="D26" s="40" t="s">
        <v>69</v>
      </c>
      <c r="E26" s="40"/>
      <c r="F26" s="40"/>
      <c r="G26" s="39" t="s">
        <v>70</v>
      </c>
      <c r="H26" s="41" t="s">
        <v>19</v>
      </c>
      <c r="I26" s="42" t="s">
        <v>73</v>
      </c>
      <c r="J26" s="43" t="s">
        <v>21</v>
      </c>
      <c r="K26" s="44">
        <v>170.0</v>
      </c>
      <c r="L26" s="45" t="s">
        <v>22</v>
      </c>
      <c r="M26" s="35"/>
      <c r="N26" s="35"/>
      <c r="O26" s="35"/>
      <c r="P26" s="46"/>
      <c r="Q26" s="35"/>
      <c r="R26" s="35"/>
      <c r="S26" s="35"/>
      <c r="T26" s="35"/>
      <c r="U26" s="35"/>
      <c r="V26" s="35"/>
      <c r="W26" s="35"/>
      <c r="X26" s="35"/>
      <c r="Y26" s="35"/>
      <c r="Z26" s="47"/>
      <c r="AA26" s="47"/>
      <c r="AB26" s="47"/>
      <c r="AC26" s="47"/>
      <c r="AD26" s="47"/>
      <c r="AE26" s="47"/>
      <c r="AF26" s="47"/>
    </row>
    <row r="27" ht="36.0" customHeight="1">
      <c r="A27" s="29"/>
      <c r="B27" s="38" t="s">
        <v>23</v>
      </c>
      <c r="C27" s="39" t="s">
        <v>74</v>
      </c>
      <c r="D27" s="40" t="s">
        <v>69</v>
      </c>
      <c r="E27" s="40"/>
      <c r="F27" s="40"/>
      <c r="G27" s="39" t="s">
        <v>70</v>
      </c>
      <c r="H27" s="41" t="s">
        <v>19</v>
      </c>
      <c r="I27" s="42" t="s">
        <v>75</v>
      </c>
      <c r="J27" s="43" t="s">
        <v>21</v>
      </c>
      <c r="K27" s="44">
        <v>170.0</v>
      </c>
      <c r="L27" s="45" t="s">
        <v>22</v>
      </c>
      <c r="M27" s="35"/>
      <c r="N27" s="35"/>
      <c r="O27" s="35"/>
      <c r="P27" s="46"/>
      <c r="Q27" s="35"/>
      <c r="R27" s="35"/>
      <c r="S27" s="35"/>
      <c r="T27" s="35"/>
      <c r="U27" s="35"/>
      <c r="V27" s="35"/>
      <c r="W27" s="35"/>
      <c r="X27" s="35"/>
      <c r="Y27" s="35"/>
      <c r="Z27" s="47"/>
      <c r="AA27" s="47"/>
      <c r="AB27" s="47"/>
      <c r="AC27" s="47"/>
      <c r="AD27" s="47"/>
      <c r="AE27" s="47"/>
      <c r="AF27" s="47"/>
    </row>
    <row r="28" ht="36.0" customHeight="1">
      <c r="A28" s="29"/>
      <c r="B28" s="38" t="s">
        <v>76</v>
      </c>
      <c r="C28" s="40" t="s">
        <v>77</v>
      </c>
      <c r="D28" s="40" t="s">
        <v>78</v>
      </c>
      <c r="E28" s="38"/>
      <c r="F28" s="38"/>
      <c r="G28" s="38"/>
      <c r="H28" s="39" t="s">
        <v>79</v>
      </c>
      <c r="I28" s="48" t="s">
        <v>80</v>
      </c>
      <c r="J28" s="38"/>
      <c r="K28" s="44">
        <v>743.0</v>
      </c>
      <c r="L28" s="45" t="s">
        <v>81</v>
      </c>
      <c r="M28" s="35"/>
      <c r="N28" s="35"/>
      <c r="O28" s="35"/>
      <c r="P28" s="46"/>
      <c r="Q28" s="35"/>
      <c r="R28" s="35"/>
      <c r="S28" s="35"/>
      <c r="T28" s="35"/>
      <c r="U28" s="35"/>
      <c r="V28" s="35"/>
      <c r="W28" s="35"/>
      <c r="X28" s="35"/>
      <c r="Y28" s="35"/>
      <c r="Z28" s="47"/>
      <c r="AA28" s="47"/>
      <c r="AB28" s="47"/>
      <c r="AC28" s="47"/>
      <c r="AD28" s="47"/>
      <c r="AE28" s="47"/>
      <c r="AF28" s="47"/>
    </row>
    <row r="29" ht="39.0" customHeight="1">
      <c r="A29" s="29"/>
      <c r="B29" s="20"/>
      <c r="C29" s="49"/>
      <c r="D29" s="19"/>
      <c r="E29" s="19"/>
      <c r="F29" s="19"/>
      <c r="G29" s="49"/>
      <c r="H29" s="49"/>
      <c r="I29" s="50"/>
      <c r="J29" s="51"/>
      <c r="K29" s="52"/>
      <c r="L29" s="8"/>
      <c r="M29" s="35"/>
      <c r="N29" s="35"/>
      <c r="O29" s="35"/>
      <c r="P29" s="46"/>
      <c r="Q29" s="35"/>
      <c r="R29" s="35"/>
      <c r="S29" s="35"/>
      <c r="T29" s="35"/>
      <c r="U29" s="35"/>
      <c r="V29" s="35"/>
      <c r="W29" s="35"/>
      <c r="X29" s="35"/>
      <c r="Y29" s="35"/>
      <c r="Z29" s="47"/>
      <c r="AA29" s="47"/>
      <c r="AB29" s="47"/>
      <c r="AC29" s="47"/>
      <c r="AD29" s="47"/>
      <c r="AE29" s="47"/>
      <c r="AF29" s="47"/>
    </row>
    <row r="30" ht="46.5" customHeight="1">
      <c r="A30" s="13"/>
      <c r="B30" s="17" t="s">
        <v>82</v>
      </c>
      <c r="C30" s="18"/>
      <c r="D30" s="19"/>
      <c r="E30" s="20"/>
      <c r="F30" s="21"/>
      <c r="G30" s="22"/>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ht="3.0" customHeight="1">
      <c r="A31" s="1"/>
      <c r="B31" s="5"/>
      <c r="C31" s="2"/>
      <c r="D31" s="2"/>
      <c r="E31" s="23"/>
      <c r="F31" s="23"/>
      <c r="G31" s="23"/>
      <c r="H31" s="24"/>
      <c r="I31" s="25"/>
      <c r="J31" s="26"/>
      <c r="K31" s="27" t="s">
        <v>2</v>
      </c>
      <c r="L31" s="53"/>
      <c r="M31" s="9"/>
      <c r="N31" s="9"/>
      <c r="O31" s="9"/>
      <c r="P31" s="10"/>
      <c r="Q31" s="11"/>
      <c r="R31" s="11"/>
      <c r="S31" s="11"/>
      <c r="T31" s="11"/>
      <c r="U31" s="11"/>
      <c r="V31" s="11"/>
      <c r="W31" s="11"/>
      <c r="X31" s="11"/>
      <c r="Y31" s="11"/>
      <c r="Z31" s="12"/>
      <c r="AA31" s="12"/>
      <c r="AB31" s="12"/>
      <c r="AC31" s="12"/>
      <c r="AD31" s="12"/>
      <c r="AE31" s="12"/>
      <c r="AF31" s="12"/>
    </row>
    <row r="32" ht="30.0" customHeight="1">
      <c r="A32" s="29"/>
      <c r="B32" s="30"/>
      <c r="C32" s="31" t="s">
        <v>3</v>
      </c>
      <c r="D32" s="31" t="s">
        <v>4</v>
      </c>
      <c r="E32" s="31" t="s">
        <v>5</v>
      </c>
      <c r="F32" s="31" t="s">
        <v>6</v>
      </c>
      <c r="G32" s="31" t="s">
        <v>7</v>
      </c>
      <c r="H32" s="32" t="s">
        <v>8</v>
      </c>
      <c r="I32" s="31" t="s">
        <v>9</v>
      </c>
      <c r="J32" s="31" t="s">
        <v>10</v>
      </c>
      <c r="K32" s="33" t="s">
        <v>11</v>
      </c>
      <c r="L32" s="54" t="s">
        <v>12</v>
      </c>
      <c r="M32" s="35"/>
      <c r="N32" s="35"/>
      <c r="O32" s="35"/>
      <c r="P32" s="10"/>
      <c r="Q32" s="36"/>
      <c r="R32" s="36"/>
      <c r="S32" s="36"/>
      <c r="T32" s="36"/>
      <c r="U32" s="36"/>
      <c r="V32" s="36"/>
      <c r="W32" s="36"/>
      <c r="X32" s="36"/>
      <c r="Y32" s="36"/>
      <c r="Z32" s="37"/>
      <c r="AA32" s="37"/>
      <c r="AB32" s="37"/>
      <c r="AC32" s="37"/>
      <c r="AD32" s="37"/>
      <c r="AE32" s="37"/>
      <c r="AF32" s="37"/>
    </row>
    <row r="33" ht="39.75" customHeight="1">
      <c r="A33" s="1"/>
      <c r="B33" s="38" t="s">
        <v>76</v>
      </c>
      <c r="C33" s="40" t="s">
        <v>83</v>
      </c>
      <c r="D33" s="40" t="s">
        <v>84</v>
      </c>
      <c r="E33" s="38"/>
      <c r="F33" s="38"/>
      <c r="G33" s="38"/>
      <c r="H33" s="41" t="s">
        <v>79</v>
      </c>
      <c r="I33" s="48" t="s">
        <v>85</v>
      </c>
      <c r="J33" s="38"/>
      <c r="K33" s="55">
        <v>195.0</v>
      </c>
      <c r="L33" s="56" t="s">
        <v>81</v>
      </c>
      <c r="M33" s="9"/>
      <c r="N33" s="9"/>
      <c r="O33" s="9"/>
      <c r="P33" s="10"/>
      <c r="Q33" s="11"/>
      <c r="R33" s="11"/>
      <c r="S33" s="11"/>
      <c r="T33" s="11"/>
      <c r="U33" s="11"/>
      <c r="V33" s="11"/>
      <c r="W33" s="11"/>
      <c r="X33" s="11"/>
      <c r="Y33" s="11"/>
      <c r="Z33" s="12"/>
      <c r="AA33" s="12"/>
      <c r="AB33" s="12"/>
      <c r="AC33" s="12"/>
      <c r="AD33" s="12"/>
      <c r="AE33" s="12"/>
      <c r="AF33" s="12"/>
    </row>
    <row r="34" ht="39.75" customHeight="1">
      <c r="A34" s="1"/>
      <c r="B34" s="38" t="s">
        <v>76</v>
      </c>
      <c r="C34" s="40" t="s">
        <v>86</v>
      </c>
      <c r="D34" s="40" t="s">
        <v>87</v>
      </c>
      <c r="E34" s="38"/>
      <c r="F34" s="38"/>
      <c r="G34" s="38"/>
      <c r="H34" s="39" t="s">
        <v>79</v>
      </c>
      <c r="I34" s="48" t="s">
        <v>88</v>
      </c>
      <c r="J34" s="38"/>
      <c r="K34" s="55">
        <v>271.0</v>
      </c>
      <c r="L34" s="56" t="s">
        <v>81</v>
      </c>
      <c r="M34" s="9"/>
      <c r="N34" s="9"/>
      <c r="O34" s="9"/>
      <c r="P34" s="10"/>
      <c r="Q34" s="11"/>
      <c r="R34" s="11"/>
      <c r="S34" s="11"/>
      <c r="T34" s="11"/>
      <c r="U34" s="11"/>
      <c r="V34" s="11"/>
      <c r="W34" s="11"/>
      <c r="X34" s="11"/>
      <c r="Y34" s="11"/>
      <c r="Z34" s="12"/>
      <c r="AA34" s="12"/>
      <c r="AB34" s="12"/>
      <c r="AC34" s="12"/>
      <c r="AD34" s="12"/>
      <c r="AE34" s="12"/>
      <c r="AF34" s="12"/>
    </row>
    <row r="35" ht="39.75" customHeight="1">
      <c r="A35" s="1"/>
      <c r="B35" s="38" t="s">
        <v>76</v>
      </c>
      <c r="C35" s="40" t="s">
        <v>89</v>
      </c>
      <c r="D35" s="40" t="s">
        <v>90</v>
      </c>
      <c r="E35" s="38"/>
      <c r="F35" s="38"/>
      <c r="G35" s="38"/>
      <c r="H35" s="39" t="s">
        <v>79</v>
      </c>
      <c r="I35" s="48" t="s">
        <v>91</v>
      </c>
      <c r="J35" s="38"/>
      <c r="K35" s="55">
        <v>408.0</v>
      </c>
      <c r="L35" s="56" t="s">
        <v>81</v>
      </c>
      <c r="M35" s="9"/>
      <c r="N35" s="9"/>
      <c r="O35" s="9"/>
      <c r="P35" s="10"/>
      <c r="Q35" s="11"/>
      <c r="R35" s="11"/>
      <c r="S35" s="11"/>
      <c r="T35" s="11"/>
      <c r="U35" s="11"/>
      <c r="V35" s="11"/>
      <c r="W35" s="11"/>
      <c r="X35" s="11"/>
      <c r="Y35" s="11"/>
      <c r="Z35" s="12"/>
      <c r="AA35" s="12"/>
      <c r="AB35" s="12"/>
      <c r="AC35" s="12"/>
      <c r="AD35" s="12"/>
      <c r="AE35" s="12"/>
      <c r="AF35" s="12"/>
    </row>
    <row r="36" ht="39.75" customHeight="1">
      <c r="A36" s="1"/>
      <c r="B36" s="38" t="s">
        <v>76</v>
      </c>
      <c r="C36" s="40" t="s">
        <v>92</v>
      </c>
      <c r="D36" s="40" t="s">
        <v>93</v>
      </c>
      <c r="E36" s="38"/>
      <c r="F36" s="38"/>
      <c r="G36" s="38"/>
      <c r="H36" s="39" t="s">
        <v>79</v>
      </c>
      <c r="I36" s="48" t="s">
        <v>94</v>
      </c>
      <c r="J36" s="38"/>
      <c r="K36" s="55">
        <v>553.0</v>
      </c>
      <c r="L36" s="56" t="s">
        <v>81</v>
      </c>
      <c r="M36" s="9"/>
      <c r="N36" s="9"/>
      <c r="O36" s="9"/>
      <c r="P36" s="10"/>
      <c r="Q36" s="11"/>
      <c r="R36" s="11"/>
      <c r="S36" s="11"/>
      <c r="T36" s="11"/>
      <c r="U36" s="11"/>
      <c r="V36" s="11"/>
      <c r="W36" s="11"/>
      <c r="X36" s="11"/>
      <c r="Y36" s="11"/>
      <c r="Z36" s="12"/>
      <c r="AA36" s="12"/>
      <c r="AB36" s="12"/>
      <c r="AC36" s="12"/>
      <c r="AD36" s="12"/>
      <c r="AE36" s="12"/>
      <c r="AF36" s="12"/>
    </row>
    <row r="37" ht="39.75" customHeight="1">
      <c r="A37" s="1"/>
      <c r="B37" s="38" t="s">
        <v>76</v>
      </c>
      <c r="C37" s="40" t="s">
        <v>95</v>
      </c>
      <c r="D37" s="40" t="s">
        <v>96</v>
      </c>
      <c r="E37" s="38"/>
      <c r="F37" s="38"/>
      <c r="G37" s="38"/>
      <c r="H37" s="39" t="s">
        <v>79</v>
      </c>
      <c r="I37" s="48" t="s">
        <v>97</v>
      </c>
      <c r="J37" s="38"/>
      <c r="K37" s="55">
        <v>766.0</v>
      </c>
      <c r="L37" s="56" t="s">
        <v>81</v>
      </c>
      <c r="M37" s="9"/>
      <c r="N37" s="9"/>
      <c r="O37" s="9"/>
      <c r="P37" s="10"/>
      <c r="Q37" s="11"/>
      <c r="R37" s="11"/>
      <c r="S37" s="11"/>
      <c r="T37" s="11"/>
      <c r="U37" s="11"/>
      <c r="V37" s="11"/>
      <c r="W37" s="11"/>
      <c r="X37" s="11"/>
      <c r="Y37" s="11"/>
      <c r="Z37" s="12"/>
      <c r="AA37" s="12"/>
      <c r="AB37" s="12"/>
      <c r="AC37" s="12"/>
      <c r="AD37" s="12"/>
      <c r="AE37" s="12"/>
      <c r="AF37" s="12"/>
    </row>
    <row r="38" ht="39.75" customHeight="1">
      <c r="A38" s="1"/>
      <c r="B38" s="38" t="s">
        <v>76</v>
      </c>
      <c r="C38" s="40" t="s">
        <v>98</v>
      </c>
      <c r="D38" s="40" t="s">
        <v>99</v>
      </c>
      <c r="E38" s="38"/>
      <c r="F38" s="38"/>
      <c r="G38" s="38"/>
      <c r="H38" s="39" t="s">
        <v>79</v>
      </c>
      <c r="I38" s="48" t="s">
        <v>100</v>
      </c>
      <c r="J38" s="38"/>
      <c r="K38" s="55">
        <v>199.0</v>
      </c>
      <c r="L38" s="56" t="s">
        <v>81</v>
      </c>
      <c r="M38" s="9"/>
      <c r="N38" s="9"/>
      <c r="O38" s="9"/>
      <c r="P38" s="10"/>
      <c r="Q38" s="11"/>
      <c r="R38" s="11"/>
      <c r="S38" s="11"/>
      <c r="T38" s="11"/>
      <c r="U38" s="11"/>
      <c r="V38" s="11"/>
      <c r="W38" s="11"/>
      <c r="X38" s="11"/>
      <c r="Y38" s="11"/>
      <c r="Z38" s="12"/>
      <c r="AA38" s="12"/>
      <c r="AB38" s="12"/>
      <c r="AC38" s="12"/>
      <c r="AD38" s="12"/>
      <c r="AE38" s="12"/>
      <c r="AF38" s="12"/>
    </row>
    <row r="39" ht="39.75" customHeight="1">
      <c r="A39" s="1"/>
      <c r="B39" s="38" t="s">
        <v>76</v>
      </c>
      <c r="C39" s="40" t="s">
        <v>101</v>
      </c>
      <c r="D39" s="40" t="s">
        <v>102</v>
      </c>
      <c r="E39" s="38"/>
      <c r="F39" s="38"/>
      <c r="G39" s="38"/>
      <c r="H39" s="39" t="s">
        <v>79</v>
      </c>
      <c r="I39" s="48" t="s">
        <v>103</v>
      </c>
      <c r="J39" s="38"/>
      <c r="K39" s="55">
        <v>264.0</v>
      </c>
      <c r="L39" s="56" t="s">
        <v>81</v>
      </c>
      <c r="M39" s="9"/>
      <c r="N39" s="9"/>
      <c r="O39" s="9"/>
      <c r="P39" s="10"/>
      <c r="Q39" s="11"/>
      <c r="R39" s="11"/>
      <c r="S39" s="11"/>
      <c r="T39" s="11"/>
      <c r="U39" s="11"/>
      <c r="V39" s="11"/>
      <c r="W39" s="11"/>
      <c r="X39" s="11"/>
      <c r="Y39" s="11"/>
      <c r="Z39" s="12"/>
      <c r="AA39" s="12"/>
      <c r="AB39" s="12"/>
      <c r="AC39" s="12"/>
      <c r="AD39" s="12"/>
      <c r="AE39" s="12"/>
      <c r="AF39" s="12"/>
    </row>
    <row r="40" ht="39.75" customHeight="1">
      <c r="A40" s="1"/>
      <c r="B40" s="38" t="s">
        <v>76</v>
      </c>
      <c r="C40" s="40" t="s">
        <v>104</v>
      </c>
      <c r="D40" s="40" t="s">
        <v>105</v>
      </c>
      <c r="E40" s="38"/>
      <c r="F40" s="38"/>
      <c r="G40" s="38"/>
      <c r="H40" s="39" t="s">
        <v>79</v>
      </c>
      <c r="I40" s="48" t="s">
        <v>106</v>
      </c>
      <c r="J40" s="38"/>
      <c r="K40" s="55">
        <v>425.0</v>
      </c>
      <c r="L40" s="56" t="s">
        <v>81</v>
      </c>
      <c r="M40" s="9"/>
      <c r="N40" s="9"/>
      <c r="O40" s="9"/>
      <c r="P40" s="10"/>
      <c r="Q40" s="11"/>
      <c r="R40" s="11"/>
      <c r="S40" s="11"/>
      <c r="T40" s="11"/>
      <c r="U40" s="11"/>
      <c r="V40" s="11"/>
      <c r="W40" s="11"/>
      <c r="X40" s="11"/>
      <c r="Y40" s="11"/>
      <c r="Z40" s="12"/>
      <c r="AA40" s="12"/>
      <c r="AB40" s="12"/>
      <c r="AC40" s="12"/>
      <c r="AD40" s="12"/>
      <c r="AE40" s="12"/>
      <c r="AF40" s="12"/>
    </row>
    <row r="41" ht="39.75" customHeight="1">
      <c r="A41" s="1"/>
      <c r="B41" s="38" t="s">
        <v>76</v>
      </c>
      <c r="C41" s="40" t="s">
        <v>107</v>
      </c>
      <c r="D41" s="40" t="s">
        <v>108</v>
      </c>
      <c r="E41" s="38"/>
      <c r="F41" s="38"/>
      <c r="G41" s="38"/>
      <c r="H41" s="39" t="s">
        <v>79</v>
      </c>
      <c r="I41" s="48" t="s">
        <v>109</v>
      </c>
      <c r="J41" s="38"/>
      <c r="K41" s="55">
        <v>690.0</v>
      </c>
      <c r="L41" s="56" t="s">
        <v>81</v>
      </c>
      <c r="M41" s="9"/>
      <c r="N41" s="9"/>
      <c r="O41" s="9"/>
      <c r="P41" s="10"/>
      <c r="Q41" s="11"/>
      <c r="R41" s="11"/>
      <c r="S41" s="11"/>
      <c r="T41" s="11"/>
      <c r="U41" s="11"/>
      <c r="V41" s="11"/>
      <c r="W41" s="11"/>
      <c r="X41" s="11"/>
      <c r="Y41" s="11"/>
      <c r="Z41" s="12"/>
      <c r="AA41" s="12"/>
      <c r="AB41" s="12"/>
      <c r="AC41" s="12"/>
      <c r="AD41" s="12"/>
      <c r="AE41" s="12"/>
      <c r="AF41" s="12"/>
    </row>
    <row r="42" ht="46.5" customHeight="1">
      <c r="A42" s="1"/>
      <c r="B42" s="2"/>
      <c r="C42" s="2"/>
      <c r="D42" s="3"/>
      <c r="E42" s="3"/>
      <c r="F42" s="3"/>
      <c r="G42" s="3"/>
      <c r="H42" s="4"/>
      <c r="I42" s="5"/>
      <c r="J42" s="6"/>
      <c r="K42" s="7"/>
      <c r="L42" s="8"/>
      <c r="M42" s="9"/>
      <c r="N42" s="9"/>
      <c r="O42" s="9"/>
      <c r="P42" s="10"/>
      <c r="Q42" s="11"/>
      <c r="R42" s="11"/>
      <c r="S42" s="11"/>
      <c r="T42" s="11"/>
      <c r="U42" s="11"/>
      <c r="V42" s="11"/>
      <c r="W42" s="11"/>
      <c r="X42" s="11"/>
      <c r="Y42" s="11"/>
      <c r="Z42" s="12"/>
      <c r="AA42" s="12"/>
      <c r="AB42" s="12"/>
      <c r="AC42" s="12"/>
      <c r="AD42" s="12"/>
      <c r="AE42" s="12"/>
      <c r="AF42" s="12"/>
    </row>
    <row r="43" ht="46.5" customHeight="1">
      <c r="A43" s="1"/>
      <c r="B43" s="2"/>
      <c r="C43" s="2"/>
      <c r="D43" s="3"/>
      <c r="E43" s="3"/>
      <c r="F43" s="3"/>
      <c r="G43" s="3"/>
      <c r="H43" s="4"/>
      <c r="I43" s="5"/>
      <c r="J43" s="6"/>
      <c r="K43" s="7"/>
      <c r="L43" s="8"/>
      <c r="M43" s="9"/>
      <c r="N43" s="9"/>
      <c r="O43" s="9"/>
      <c r="P43" s="10"/>
      <c r="Q43" s="11"/>
      <c r="R43" s="11"/>
      <c r="S43" s="11"/>
      <c r="T43" s="11"/>
      <c r="U43" s="11"/>
      <c r="V43" s="11"/>
      <c r="W43" s="11"/>
      <c r="X43" s="11"/>
      <c r="Y43" s="11"/>
      <c r="Z43" s="12"/>
      <c r="AA43" s="12"/>
      <c r="AB43" s="12"/>
      <c r="AC43" s="12"/>
      <c r="AD43" s="12"/>
      <c r="AE43" s="12"/>
      <c r="AF43" s="12"/>
    </row>
    <row r="44" ht="46.5" customHeight="1">
      <c r="A44" s="1"/>
      <c r="B44" s="2"/>
      <c r="C44" s="2"/>
      <c r="D44" s="3"/>
      <c r="E44" s="3"/>
      <c r="F44" s="3"/>
      <c r="G44" s="3"/>
      <c r="H44" s="4"/>
      <c r="I44" s="5"/>
      <c r="J44" s="6"/>
      <c r="K44" s="7"/>
      <c r="L44" s="8"/>
      <c r="M44" s="9"/>
      <c r="N44" s="9"/>
      <c r="O44" s="9"/>
      <c r="P44" s="10"/>
      <c r="Q44" s="11"/>
      <c r="R44" s="11"/>
      <c r="S44" s="11"/>
      <c r="T44" s="11"/>
      <c r="U44" s="11"/>
      <c r="V44" s="11"/>
      <c r="W44" s="11"/>
      <c r="X44" s="11"/>
      <c r="Y44" s="11"/>
      <c r="Z44" s="12"/>
      <c r="AA44" s="12"/>
      <c r="AB44" s="12"/>
      <c r="AC44" s="12"/>
      <c r="AD44" s="12"/>
      <c r="AE44" s="12"/>
      <c r="AF44" s="12"/>
    </row>
    <row r="45" ht="46.5" customHeight="1">
      <c r="A45" s="1"/>
      <c r="B45" s="2"/>
      <c r="C45" s="2"/>
      <c r="D45" s="3"/>
      <c r="E45" s="3"/>
      <c r="F45" s="3"/>
      <c r="G45" s="3"/>
      <c r="H45" s="4"/>
      <c r="I45" s="5"/>
      <c r="J45" s="6"/>
      <c r="K45" s="7"/>
      <c r="L45" s="8"/>
      <c r="M45" s="9"/>
      <c r="N45" s="9"/>
      <c r="O45" s="9"/>
      <c r="P45" s="10"/>
      <c r="Q45" s="11"/>
      <c r="R45" s="11"/>
      <c r="S45" s="11"/>
      <c r="T45" s="11"/>
      <c r="U45" s="11"/>
      <c r="V45" s="11"/>
      <c r="W45" s="11"/>
      <c r="X45" s="11"/>
      <c r="Y45" s="11"/>
      <c r="Z45" s="12"/>
      <c r="AA45" s="12"/>
      <c r="AB45" s="12"/>
      <c r="AC45" s="12"/>
      <c r="AD45" s="12"/>
      <c r="AE45" s="12"/>
      <c r="AF45" s="12"/>
    </row>
    <row r="46" ht="46.5" customHeight="1">
      <c r="A46" s="1"/>
      <c r="B46" s="2"/>
      <c r="C46" s="2"/>
      <c r="D46" s="3"/>
      <c r="E46" s="3"/>
      <c r="F46" s="3"/>
      <c r="G46" s="3"/>
      <c r="H46" s="4"/>
      <c r="I46" s="5"/>
      <c r="J46" s="6"/>
      <c r="K46" s="7"/>
      <c r="L46" s="8"/>
      <c r="M46" s="9"/>
      <c r="N46" s="9"/>
      <c r="O46" s="9"/>
      <c r="P46" s="10"/>
      <c r="Q46" s="11"/>
      <c r="R46" s="11"/>
      <c r="S46" s="11"/>
      <c r="T46" s="11"/>
      <c r="U46" s="11"/>
      <c r="V46" s="11"/>
      <c r="W46" s="11"/>
      <c r="X46" s="11"/>
      <c r="Y46" s="11"/>
      <c r="Z46" s="12"/>
      <c r="AA46" s="12"/>
      <c r="AB46" s="12"/>
      <c r="AC46" s="12"/>
      <c r="AD46" s="12"/>
      <c r="AE46" s="12"/>
      <c r="AF46" s="12"/>
    </row>
    <row r="47" ht="46.5" customHeight="1">
      <c r="A47" s="1"/>
      <c r="B47" s="2"/>
      <c r="C47" s="2"/>
      <c r="D47" s="3"/>
      <c r="E47" s="3"/>
      <c r="F47" s="3"/>
      <c r="G47" s="3"/>
      <c r="H47" s="4"/>
      <c r="I47" s="5"/>
      <c r="J47" s="6"/>
      <c r="K47" s="7"/>
      <c r="L47" s="8"/>
      <c r="M47" s="9"/>
      <c r="N47" s="9"/>
      <c r="O47" s="9"/>
      <c r="P47" s="10"/>
      <c r="Q47" s="11"/>
      <c r="R47" s="11"/>
      <c r="S47" s="11"/>
      <c r="T47" s="11"/>
      <c r="U47" s="11"/>
      <c r="V47" s="11"/>
      <c r="W47" s="11"/>
      <c r="X47" s="11"/>
      <c r="Y47" s="11"/>
      <c r="Z47" s="12"/>
      <c r="AA47" s="12"/>
      <c r="AB47" s="12"/>
      <c r="AC47" s="12"/>
      <c r="AD47" s="12"/>
      <c r="AE47" s="12"/>
      <c r="AF47" s="12"/>
    </row>
    <row r="48" ht="46.5" customHeight="1">
      <c r="A48" s="1"/>
      <c r="B48" s="2"/>
      <c r="C48" s="2"/>
      <c r="D48" s="3"/>
      <c r="E48" s="3"/>
      <c r="F48" s="3"/>
      <c r="G48" s="3"/>
      <c r="H48" s="4"/>
      <c r="I48" s="5"/>
      <c r="J48" s="6"/>
      <c r="K48" s="7"/>
      <c r="L48" s="8"/>
      <c r="M48" s="9"/>
      <c r="N48" s="9"/>
      <c r="O48" s="9"/>
      <c r="P48" s="10"/>
      <c r="Q48" s="11"/>
      <c r="R48" s="11"/>
      <c r="S48" s="11"/>
      <c r="T48" s="11"/>
      <c r="U48" s="11"/>
      <c r="V48" s="11"/>
      <c r="W48" s="11"/>
      <c r="X48" s="11"/>
      <c r="Y48" s="11"/>
      <c r="Z48" s="12"/>
      <c r="AA48" s="12"/>
      <c r="AB48" s="12"/>
      <c r="AC48" s="12"/>
      <c r="AD48" s="12"/>
      <c r="AE48" s="12"/>
      <c r="AF48" s="12"/>
    </row>
    <row r="49" ht="46.5" customHeight="1">
      <c r="A49" s="1"/>
      <c r="B49" s="2"/>
      <c r="C49" s="2"/>
      <c r="D49" s="3"/>
      <c r="E49" s="3"/>
      <c r="F49" s="3"/>
      <c r="G49" s="3"/>
      <c r="H49" s="4"/>
      <c r="I49" s="5"/>
      <c r="J49" s="6"/>
      <c r="K49" s="7"/>
      <c r="L49" s="8"/>
      <c r="M49" s="9"/>
      <c r="N49" s="9"/>
      <c r="O49" s="9"/>
      <c r="P49" s="10"/>
      <c r="Q49" s="11"/>
      <c r="R49" s="11"/>
      <c r="S49" s="11"/>
      <c r="T49" s="11"/>
      <c r="U49" s="11"/>
      <c r="V49" s="11"/>
      <c r="W49" s="11"/>
      <c r="X49" s="11"/>
      <c r="Y49" s="11"/>
      <c r="Z49" s="12"/>
      <c r="AA49" s="12"/>
      <c r="AB49" s="12"/>
      <c r="AC49" s="12"/>
      <c r="AD49" s="12"/>
      <c r="AE49" s="12"/>
      <c r="AF49" s="12"/>
    </row>
    <row r="50" ht="46.5" customHeight="1">
      <c r="A50" s="1"/>
      <c r="B50" s="2"/>
      <c r="C50" s="2"/>
      <c r="D50" s="3"/>
      <c r="E50" s="3"/>
      <c r="F50" s="3"/>
      <c r="G50" s="3"/>
      <c r="H50" s="4"/>
      <c r="I50" s="5"/>
      <c r="J50" s="6"/>
      <c r="K50" s="7"/>
      <c r="L50" s="8"/>
      <c r="M50" s="9"/>
      <c r="N50" s="9"/>
      <c r="O50" s="9"/>
      <c r="P50" s="10"/>
      <c r="Q50" s="11"/>
      <c r="R50" s="11"/>
      <c r="S50" s="11"/>
      <c r="T50" s="11"/>
      <c r="U50" s="11"/>
      <c r="V50" s="11"/>
      <c r="W50" s="11"/>
      <c r="X50" s="11"/>
      <c r="Y50" s="11"/>
      <c r="Z50" s="12"/>
      <c r="AA50" s="12"/>
      <c r="AB50" s="12"/>
      <c r="AC50" s="12"/>
      <c r="AD50" s="12"/>
      <c r="AE50" s="12"/>
      <c r="AF50" s="12"/>
    </row>
    <row r="51" ht="46.5" customHeight="1">
      <c r="A51" s="1"/>
      <c r="B51" s="2"/>
      <c r="C51" s="2"/>
      <c r="D51" s="3"/>
      <c r="E51" s="3"/>
      <c r="F51" s="3"/>
      <c r="G51" s="3"/>
      <c r="H51" s="4"/>
      <c r="I51" s="5"/>
      <c r="J51" s="6"/>
      <c r="K51" s="7"/>
      <c r="L51" s="8"/>
      <c r="M51" s="9"/>
      <c r="N51" s="9"/>
      <c r="O51" s="9"/>
      <c r="P51" s="10"/>
      <c r="Q51" s="11"/>
      <c r="R51" s="11"/>
      <c r="S51" s="11"/>
      <c r="T51" s="11"/>
      <c r="U51" s="11"/>
      <c r="V51" s="11"/>
      <c r="W51" s="11"/>
      <c r="X51" s="11"/>
      <c r="Y51" s="11"/>
      <c r="Z51" s="12"/>
      <c r="AA51" s="12"/>
      <c r="AB51" s="12"/>
      <c r="AC51" s="12"/>
      <c r="AD51" s="12"/>
      <c r="AE51" s="12"/>
      <c r="AF51" s="12"/>
    </row>
    <row r="52" ht="46.5" customHeight="1">
      <c r="A52" s="1"/>
      <c r="B52" s="2"/>
      <c r="C52" s="2"/>
      <c r="D52" s="3"/>
      <c r="E52" s="3"/>
      <c r="F52" s="3"/>
      <c r="G52" s="3"/>
      <c r="H52" s="4"/>
      <c r="I52" s="5"/>
      <c r="J52" s="6"/>
      <c r="K52" s="7"/>
      <c r="L52" s="8"/>
      <c r="M52" s="9"/>
      <c r="N52" s="9"/>
      <c r="O52" s="9"/>
      <c r="P52" s="10"/>
      <c r="Q52" s="11"/>
      <c r="R52" s="11"/>
      <c r="S52" s="11"/>
      <c r="T52" s="11"/>
      <c r="U52" s="11"/>
      <c r="V52" s="11"/>
      <c r="W52" s="11"/>
      <c r="X52" s="11"/>
      <c r="Y52" s="11"/>
      <c r="Z52" s="12"/>
      <c r="AA52" s="12"/>
      <c r="AB52" s="12"/>
      <c r="AC52" s="12"/>
      <c r="AD52" s="12"/>
      <c r="AE52" s="12"/>
      <c r="AF52" s="12"/>
    </row>
    <row r="53" ht="46.5" customHeight="1">
      <c r="A53" s="1"/>
      <c r="B53" s="2"/>
      <c r="C53" s="2"/>
      <c r="D53" s="3"/>
      <c r="E53" s="3"/>
      <c r="F53" s="3"/>
      <c r="G53" s="3"/>
      <c r="H53" s="4"/>
      <c r="I53" s="5"/>
      <c r="J53" s="6"/>
      <c r="K53" s="7"/>
      <c r="L53" s="8"/>
      <c r="M53" s="9"/>
      <c r="N53" s="9"/>
      <c r="O53" s="9"/>
      <c r="P53" s="10"/>
      <c r="Q53" s="11"/>
      <c r="R53" s="11"/>
      <c r="S53" s="11"/>
      <c r="T53" s="11"/>
      <c r="U53" s="11"/>
      <c r="V53" s="11"/>
      <c r="W53" s="11"/>
      <c r="X53" s="11"/>
      <c r="Y53" s="11"/>
      <c r="Z53" s="12"/>
      <c r="AA53" s="12"/>
      <c r="AB53" s="12"/>
      <c r="AC53" s="12"/>
      <c r="AD53" s="12"/>
      <c r="AE53" s="12"/>
      <c r="AF53" s="12"/>
    </row>
    <row r="54" ht="46.5" customHeight="1">
      <c r="A54" s="1"/>
      <c r="B54" s="2"/>
      <c r="C54" s="2"/>
      <c r="D54" s="3"/>
      <c r="E54" s="3"/>
      <c r="F54" s="3"/>
      <c r="G54" s="3"/>
      <c r="H54" s="4"/>
      <c r="I54" s="5"/>
      <c r="J54" s="6"/>
      <c r="K54" s="7"/>
      <c r="L54" s="8"/>
      <c r="M54" s="9"/>
      <c r="N54" s="9"/>
      <c r="O54" s="9"/>
      <c r="P54" s="10"/>
      <c r="Q54" s="11"/>
      <c r="R54" s="11"/>
      <c r="S54" s="11"/>
      <c r="T54" s="11"/>
      <c r="U54" s="11"/>
      <c r="V54" s="11"/>
      <c r="W54" s="11"/>
      <c r="X54" s="11"/>
      <c r="Y54" s="11"/>
      <c r="Z54" s="12"/>
      <c r="AA54" s="12"/>
      <c r="AB54" s="12"/>
      <c r="AC54" s="12"/>
      <c r="AD54" s="12"/>
      <c r="AE54" s="12"/>
      <c r="AF54" s="12"/>
    </row>
    <row r="55" ht="46.5" customHeight="1">
      <c r="A55" s="1"/>
      <c r="B55" s="2"/>
      <c r="C55" s="2"/>
      <c r="D55" s="3"/>
      <c r="E55" s="3"/>
      <c r="F55" s="3"/>
      <c r="G55" s="3"/>
      <c r="H55" s="4"/>
      <c r="I55" s="5"/>
      <c r="J55" s="6"/>
      <c r="K55" s="7"/>
      <c r="L55" s="8"/>
      <c r="M55" s="9"/>
      <c r="N55" s="9"/>
      <c r="O55" s="9"/>
      <c r="P55" s="10"/>
      <c r="Q55" s="11"/>
      <c r="R55" s="11"/>
      <c r="S55" s="11"/>
      <c r="T55" s="11"/>
      <c r="U55" s="11"/>
      <c r="V55" s="11"/>
      <c r="W55" s="11"/>
      <c r="X55" s="11"/>
      <c r="Y55" s="11"/>
      <c r="Z55" s="12"/>
      <c r="AA55" s="12"/>
      <c r="AB55" s="12"/>
      <c r="AC55" s="12"/>
      <c r="AD55" s="12"/>
      <c r="AE55" s="12"/>
      <c r="AF55" s="12"/>
    </row>
    <row r="56" ht="46.5" customHeight="1">
      <c r="A56" s="1"/>
      <c r="B56" s="2"/>
      <c r="C56" s="2"/>
      <c r="D56" s="3"/>
      <c r="E56" s="3"/>
      <c r="F56" s="3"/>
      <c r="G56" s="3"/>
      <c r="H56" s="4"/>
      <c r="I56" s="5"/>
      <c r="J56" s="6"/>
      <c r="K56" s="7"/>
      <c r="L56" s="8"/>
      <c r="M56" s="9"/>
      <c r="N56" s="9"/>
      <c r="O56" s="9"/>
      <c r="P56" s="10"/>
      <c r="Q56" s="11"/>
      <c r="R56" s="11"/>
      <c r="S56" s="11"/>
      <c r="T56" s="11"/>
      <c r="U56" s="11"/>
      <c r="V56" s="11"/>
      <c r="W56" s="11"/>
      <c r="X56" s="11"/>
      <c r="Y56" s="11"/>
      <c r="Z56" s="12"/>
      <c r="AA56" s="12"/>
      <c r="AB56" s="12"/>
      <c r="AC56" s="12"/>
      <c r="AD56" s="12"/>
      <c r="AE56" s="12"/>
      <c r="AF56" s="12"/>
    </row>
    <row r="57" ht="46.5" customHeight="1">
      <c r="A57" s="1"/>
      <c r="B57" s="2"/>
      <c r="C57" s="2"/>
      <c r="D57" s="3"/>
      <c r="E57" s="3"/>
      <c r="F57" s="3"/>
      <c r="G57" s="3"/>
      <c r="H57" s="4"/>
      <c r="I57" s="5"/>
      <c r="J57" s="6"/>
      <c r="K57" s="7"/>
      <c r="L57" s="8"/>
      <c r="M57" s="9"/>
      <c r="N57" s="9"/>
      <c r="O57" s="9"/>
      <c r="P57" s="10"/>
      <c r="Q57" s="11"/>
      <c r="R57" s="11"/>
      <c r="S57" s="11"/>
      <c r="T57" s="11"/>
      <c r="U57" s="11"/>
      <c r="V57" s="11"/>
      <c r="W57" s="11"/>
      <c r="X57" s="11"/>
      <c r="Y57" s="11"/>
      <c r="Z57" s="12"/>
      <c r="AA57" s="12"/>
      <c r="AB57" s="12"/>
      <c r="AC57" s="12"/>
      <c r="AD57" s="12"/>
      <c r="AE57" s="12"/>
      <c r="AF57" s="12"/>
    </row>
    <row r="58" ht="46.5" customHeight="1">
      <c r="A58" s="1"/>
      <c r="B58" s="2"/>
      <c r="C58" s="2"/>
      <c r="D58" s="3"/>
      <c r="E58" s="3"/>
      <c r="F58" s="3"/>
      <c r="G58" s="3"/>
      <c r="H58" s="4"/>
      <c r="I58" s="5"/>
      <c r="J58" s="6"/>
      <c r="K58" s="7"/>
      <c r="L58" s="8"/>
      <c r="M58" s="9"/>
      <c r="N58" s="9"/>
      <c r="O58" s="9"/>
      <c r="P58" s="10"/>
      <c r="Q58" s="11"/>
      <c r="R58" s="11"/>
      <c r="S58" s="11"/>
      <c r="T58" s="11"/>
      <c r="U58" s="11"/>
      <c r="V58" s="11"/>
      <c r="W58" s="11"/>
      <c r="X58" s="11"/>
      <c r="Y58" s="11"/>
      <c r="Z58" s="12"/>
      <c r="AA58" s="12"/>
      <c r="AB58" s="12"/>
      <c r="AC58" s="12"/>
      <c r="AD58" s="12"/>
      <c r="AE58" s="12"/>
      <c r="AF58" s="12"/>
    </row>
    <row r="59" ht="46.5" customHeight="1">
      <c r="A59" s="1"/>
      <c r="B59" s="2"/>
      <c r="C59" s="2"/>
      <c r="D59" s="3"/>
      <c r="E59" s="3"/>
      <c r="F59" s="3"/>
      <c r="G59" s="3"/>
      <c r="H59" s="4"/>
      <c r="I59" s="5"/>
      <c r="J59" s="6"/>
      <c r="K59" s="7"/>
      <c r="L59" s="8"/>
      <c r="M59" s="9"/>
      <c r="N59" s="9"/>
      <c r="O59" s="9"/>
      <c r="P59" s="10"/>
      <c r="Q59" s="11"/>
      <c r="R59" s="11"/>
      <c r="S59" s="11"/>
      <c r="T59" s="11"/>
      <c r="U59" s="11"/>
      <c r="V59" s="11"/>
      <c r="W59" s="11"/>
      <c r="X59" s="11"/>
      <c r="Y59" s="11"/>
      <c r="Z59" s="12"/>
      <c r="AA59" s="12"/>
      <c r="AB59" s="12"/>
      <c r="AC59" s="12"/>
      <c r="AD59" s="12"/>
      <c r="AE59" s="12"/>
      <c r="AF59" s="12"/>
    </row>
    <row r="60" ht="46.5" customHeight="1">
      <c r="A60" s="1"/>
      <c r="B60" s="2"/>
      <c r="C60" s="2"/>
      <c r="D60" s="3"/>
      <c r="E60" s="3"/>
      <c r="F60" s="3"/>
      <c r="G60" s="3"/>
      <c r="H60" s="4"/>
      <c r="I60" s="5"/>
      <c r="J60" s="6"/>
      <c r="K60" s="7"/>
      <c r="L60" s="8"/>
      <c r="M60" s="9"/>
      <c r="N60" s="9"/>
      <c r="O60" s="9"/>
      <c r="P60" s="10"/>
      <c r="Q60" s="11"/>
      <c r="R60" s="11"/>
      <c r="S60" s="11"/>
      <c r="T60" s="11"/>
      <c r="U60" s="11"/>
      <c r="V60" s="11"/>
      <c r="W60" s="11"/>
      <c r="X60" s="11"/>
      <c r="Y60" s="11"/>
      <c r="Z60" s="12"/>
      <c r="AA60" s="12"/>
      <c r="AB60" s="12"/>
      <c r="AC60" s="12"/>
      <c r="AD60" s="12"/>
      <c r="AE60" s="12"/>
      <c r="AF60" s="12"/>
    </row>
    <row r="61" ht="46.5" customHeight="1">
      <c r="A61" s="1"/>
      <c r="B61" s="2"/>
      <c r="C61" s="2"/>
      <c r="D61" s="3"/>
      <c r="E61" s="3"/>
      <c r="F61" s="3"/>
      <c r="G61" s="3"/>
      <c r="H61" s="4"/>
      <c r="I61" s="5"/>
      <c r="J61" s="6"/>
      <c r="K61" s="7"/>
      <c r="L61" s="8"/>
      <c r="M61" s="9"/>
      <c r="N61" s="9"/>
      <c r="O61" s="9"/>
      <c r="P61" s="10"/>
      <c r="Q61" s="11"/>
      <c r="R61" s="11"/>
      <c r="S61" s="11"/>
      <c r="T61" s="11"/>
      <c r="U61" s="11"/>
      <c r="V61" s="11"/>
      <c r="W61" s="11"/>
      <c r="X61" s="11"/>
      <c r="Y61" s="11"/>
      <c r="Z61" s="12"/>
      <c r="AA61" s="12"/>
      <c r="AB61" s="12"/>
      <c r="AC61" s="12"/>
      <c r="AD61" s="12"/>
      <c r="AE61" s="12"/>
      <c r="AF61" s="12"/>
    </row>
    <row r="62" ht="46.5" customHeight="1">
      <c r="A62" s="1"/>
      <c r="B62" s="2"/>
      <c r="C62" s="2"/>
      <c r="D62" s="3"/>
      <c r="E62" s="3"/>
      <c r="F62" s="3"/>
      <c r="G62" s="3"/>
      <c r="H62" s="4"/>
      <c r="I62" s="5"/>
      <c r="J62" s="6"/>
      <c r="K62" s="7"/>
      <c r="L62" s="8"/>
      <c r="M62" s="9"/>
      <c r="N62" s="9"/>
      <c r="O62" s="9"/>
      <c r="P62" s="10"/>
      <c r="Q62" s="11"/>
      <c r="R62" s="11"/>
      <c r="S62" s="11"/>
      <c r="T62" s="11"/>
      <c r="U62" s="11"/>
      <c r="V62" s="11"/>
      <c r="W62" s="11"/>
      <c r="X62" s="11"/>
      <c r="Y62" s="11"/>
      <c r="Z62" s="12"/>
      <c r="AA62" s="12"/>
      <c r="AB62" s="12"/>
      <c r="AC62" s="12"/>
      <c r="AD62" s="12"/>
      <c r="AE62" s="12"/>
      <c r="AF62" s="12"/>
    </row>
    <row r="63" ht="46.5" customHeight="1">
      <c r="A63" s="1"/>
      <c r="B63" s="2"/>
      <c r="C63" s="2"/>
      <c r="D63" s="3"/>
      <c r="E63" s="3"/>
      <c r="F63" s="3"/>
      <c r="G63" s="3"/>
      <c r="H63" s="4"/>
      <c r="I63" s="5"/>
      <c r="J63" s="6"/>
      <c r="K63" s="7"/>
      <c r="L63" s="8"/>
      <c r="M63" s="9"/>
      <c r="N63" s="9"/>
      <c r="O63" s="9"/>
      <c r="P63" s="10"/>
      <c r="Q63" s="11"/>
      <c r="R63" s="11"/>
      <c r="S63" s="11"/>
      <c r="T63" s="11"/>
      <c r="U63" s="11"/>
      <c r="V63" s="11"/>
      <c r="W63" s="11"/>
      <c r="X63" s="11"/>
      <c r="Y63" s="11"/>
      <c r="Z63" s="12"/>
      <c r="AA63" s="12"/>
      <c r="AB63" s="12"/>
      <c r="AC63" s="12"/>
      <c r="AD63" s="12"/>
      <c r="AE63" s="12"/>
      <c r="AF63" s="12"/>
    </row>
    <row r="64" ht="46.5" customHeight="1">
      <c r="A64" s="1"/>
      <c r="B64" s="2"/>
      <c r="C64" s="2"/>
      <c r="D64" s="3"/>
      <c r="E64" s="3"/>
      <c r="F64" s="3"/>
      <c r="G64" s="3"/>
      <c r="H64" s="4"/>
      <c r="I64" s="5"/>
      <c r="J64" s="6"/>
      <c r="K64" s="7"/>
      <c r="L64" s="8"/>
      <c r="M64" s="9"/>
      <c r="N64" s="9"/>
      <c r="O64" s="9"/>
      <c r="P64" s="10"/>
      <c r="Q64" s="11"/>
      <c r="R64" s="11"/>
      <c r="S64" s="11"/>
      <c r="T64" s="11"/>
      <c r="U64" s="11"/>
      <c r="V64" s="11"/>
      <c r="W64" s="11"/>
      <c r="X64" s="11"/>
      <c r="Y64" s="11"/>
      <c r="Z64" s="12"/>
      <c r="AA64" s="12"/>
      <c r="AB64" s="12"/>
      <c r="AC64" s="12"/>
      <c r="AD64" s="12"/>
      <c r="AE64" s="12"/>
      <c r="AF64" s="12"/>
    </row>
    <row r="65" ht="46.5" customHeight="1">
      <c r="A65" s="1"/>
      <c r="B65" s="2"/>
      <c r="C65" s="2"/>
      <c r="D65" s="3"/>
      <c r="E65" s="3"/>
      <c r="F65" s="3"/>
      <c r="G65" s="3"/>
      <c r="H65" s="4"/>
      <c r="I65" s="5"/>
      <c r="J65" s="6"/>
      <c r="K65" s="7"/>
      <c r="L65" s="8"/>
      <c r="M65" s="9"/>
      <c r="N65" s="9"/>
      <c r="O65" s="9"/>
      <c r="P65" s="10"/>
      <c r="Q65" s="11"/>
      <c r="R65" s="11"/>
      <c r="S65" s="11"/>
      <c r="T65" s="11"/>
      <c r="U65" s="11"/>
      <c r="V65" s="11"/>
      <c r="W65" s="11"/>
      <c r="X65" s="11"/>
      <c r="Y65" s="11"/>
      <c r="Z65" s="12"/>
      <c r="AA65" s="12"/>
      <c r="AB65" s="12"/>
      <c r="AC65" s="12"/>
      <c r="AD65" s="12"/>
      <c r="AE65" s="12"/>
      <c r="AF65" s="12"/>
    </row>
    <row r="66" ht="46.5" customHeight="1">
      <c r="A66" s="1"/>
      <c r="B66" s="2"/>
      <c r="C66" s="2"/>
      <c r="D66" s="3"/>
      <c r="E66" s="3"/>
      <c r="F66" s="3"/>
      <c r="G66" s="3"/>
      <c r="H66" s="4"/>
      <c r="I66" s="5"/>
      <c r="J66" s="6"/>
      <c r="K66" s="7"/>
      <c r="L66" s="8"/>
      <c r="M66" s="9"/>
      <c r="N66" s="9"/>
      <c r="O66" s="9"/>
      <c r="P66" s="10"/>
      <c r="Q66" s="11"/>
      <c r="R66" s="11"/>
      <c r="S66" s="11"/>
      <c r="T66" s="11"/>
      <c r="U66" s="11"/>
      <c r="V66" s="11"/>
      <c r="W66" s="11"/>
      <c r="X66" s="11"/>
      <c r="Y66" s="11"/>
      <c r="Z66" s="12"/>
      <c r="AA66" s="12"/>
      <c r="AB66" s="12"/>
      <c r="AC66" s="12"/>
      <c r="AD66" s="12"/>
      <c r="AE66" s="12"/>
      <c r="AF66" s="12"/>
    </row>
    <row r="67" ht="46.5" customHeight="1">
      <c r="A67" s="1"/>
      <c r="B67" s="2"/>
      <c r="C67" s="2"/>
      <c r="D67" s="3"/>
      <c r="E67" s="3"/>
      <c r="F67" s="3"/>
      <c r="G67" s="3"/>
      <c r="H67" s="4"/>
      <c r="I67" s="5"/>
      <c r="J67" s="6"/>
      <c r="K67" s="7"/>
      <c r="L67" s="8"/>
      <c r="M67" s="9"/>
      <c r="N67" s="9"/>
      <c r="O67" s="9"/>
      <c r="P67" s="10"/>
      <c r="Q67" s="11"/>
      <c r="R67" s="11"/>
      <c r="S67" s="11"/>
      <c r="T67" s="11"/>
      <c r="U67" s="11"/>
      <c r="V67" s="11"/>
      <c r="W67" s="11"/>
      <c r="X67" s="11"/>
      <c r="Y67" s="11"/>
      <c r="Z67" s="12"/>
      <c r="AA67" s="12"/>
      <c r="AB67" s="12"/>
      <c r="AC67" s="12"/>
      <c r="AD67" s="12"/>
      <c r="AE67" s="12"/>
      <c r="AF67" s="12"/>
    </row>
    <row r="68" ht="46.5" customHeight="1">
      <c r="A68" s="1"/>
      <c r="B68" s="2"/>
      <c r="C68" s="2"/>
      <c r="D68" s="3"/>
      <c r="E68" s="3"/>
      <c r="F68" s="3"/>
      <c r="G68" s="3"/>
      <c r="H68" s="4"/>
      <c r="I68" s="5"/>
      <c r="J68" s="6"/>
      <c r="K68" s="7"/>
      <c r="L68" s="8"/>
      <c r="M68" s="9"/>
      <c r="N68" s="9"/>
      <c r="O68" s="9"/>
      <c r="P68" s="10"/>
      <c r="Q68" s="11"/>
      <c r="R68" s="11"/>
      <c r="S68" s="11"/>
      <c r="T68" s="11"/>
      <c r="U68" s="11"/>
      <c r="V68" s="11"/>
      <c r="W68" s="11"/>
      <c r="X68" s="11"/>
      <c r="Y68" s="11"/>
      <c r="Z68" s="12"/>
      <c r="AA68" s="12"/>
      <c r="AB68" s="12"/>
      <c r="AC68" s="12"/>
      <c r="AD68" s="12"/>
      <c r="AE68" s="12"/>
      <c r="AF68" s="12"/>
    </row>
    <row r="69" ht="46.5" customHeight="1">
      <c r="A69" s="1"/>
      <c r="B69" s="2"/>
      <c r="C69" s="2"/>
      <c r="D69" s="3"/>
      <c r="E69" s="3"/>
      <c r="F69" s="3"/>
      <c r="G69" s="3"/>
      <c r="H69" s="4"/>
      <c r="I69" s="5"/>
      <c r="J69" s="6"/>
      <c r="K69" s="7"/>
      <c r="L69" s="8"/>
      <c r="M69" s="9"/>
      <c r="N69" s="9"/>
      <c r="O69" s="9"/>
      <c r="P69" s="10"/>
      <c r="Q69" s="11"/>
      <c r="R69" s="11"/>
      <c r="S69" s="11"/>
      <c r="T69" s="11"/>
      <c r="U69" s="11"/>
      <c r="V69" s="11"/>
      <c r="W69" s="11"/>
      <c r="X69" s="11"/>
      <c r="Y69" s="11"/>
      <c r="Z69" s="12"/>
      <c r="AA69" s="12"/>
      <c r="AB69" s="12"/>
      <c r="AC69" s="12"/>
      <c r="AD69" s="12"/>
      <c r="AE69" s="12"/>
      <c r="AF69" s="12"/>
    </row>
    <row r="70" ht="46.5" customHeight="1">
      <c r="A70" s="1"/>
      <c r="B70" s="2"/>
      <c r="C70" s="2"/>
      <c r="D70" s="3"/>
      <c r="E70" s="3"/>
      <c r="F70" s="3"/>
      <c r="G70" s="3"/>
      <c r="H70" s="4"/>
      <c r="I70" s="5"/>
      <c r="J70" s="6"/>
      <c r="K70" s="7"/>
      <c r="L70" s="8"/>
      <c r="M70" s="9"/>
      <c r="N70" s="9"/>
      <c r="O70" s="9"/>
      <c r="P70" s="10"/>
      <c r="Q70" s="11"/>
      <c r="R70" s="11"/>
      <c r="S70" s="11"/>
      <c r="T70" s="11"/>
      <c r="U70" s="11"/>
      <c r="V70" s="11"/>
      <c r="W70" s="11"/>
      <c r="X70" s="11"/>
      <c r="Y70" s="11"/>
      <c r="Z70" s="12"/>
      <c r="AA70" s="12"/>
      <c r="AB70" s="12"/>
      <c r="AC70" s="12"/>
      <c r="AD70" s="12"/>
      <c r="AE70" s="12"/>
      <c r="AF70" s="12"/>
    </row>
    <row r="71" ht="46.5" customHeight="1">
      <c r="A71" s="1"/>
      <c r="B71" s="2"/>
      <c r="C71" s="2"/>
      <c r="D71" s="3"/>
      <c r="E71" s="3"/>
      <c r="F71" s="3"/>
      <c r="G71" s="3"/>
      <c r="H71" s="4"/>
      <c r="I71" s="5"/>
      <c r="J71" s="6"/>
      <c r="K71" s="7"/>
      <c r="L71" s="8"/>
      <c r="M71" s="9"/>
      <c r="N71" s="9"/>
      <c r="O71" s="9"/>
      <c r="P71" s="10"/>
      <c r="Q71" s="11"/>
      <c r="R71" s="11"/>
      <c r="S71" s="11"/>
      <c r="T71" s="11"/>
      <c r="U71" s="11"/>
      <c r="V71" s="11"/>
      <c r="W71" s="11"/>
      <c r="X71" s="11"/>
      <c r="Y71" s="11"/>
      <c r="Z71" s="12"/>
      <c r="AA71" s="12"/>
      <c r="AB71" s="12"/>
      <c r="AC71" s="12"/>
      <c r="AD71" s="12"/>
      <c r="AE71" s="12"/>
      <c r="AF71" s="12"/>
    </row>
    <row r="72" ht="46.5" customHeight="1">
      <c r="A72" s="1"/>
      <c r="B72" s="2"/>
      <c r="C72" s="2"/>
      <c r="D72" s="3"/>
      <c r="E72" s="3"/>
      <c r="F72" s="3"/>
      <c r="G72" s="3"/>
      <c r="H72" s="4"/>
      <c r="I72" s="5"/>
      <c r="J72" s="6"/>
      <c r="K72" s="7"/>
      <c r="L72" s="8"/>
      <c r="M72" s="9"/>
      <c r="N72" s="9"/>
      <c r="O72" s="9"/>
      <c r="P72" s="10"/>
      <c r="Q72" s="11"/>
      <c r="R72" s="11"/>
      <c r="S72" s="11"/>
      <c r="T72" s="11"/>
      <c r="U72" s="11"/>
      <c r="V72" s="11"/>
      <c r="W72" s="11"/>
      <c r="X72" s="11"/>
      <c r="Y72" s="11"/>
      <c r="Z72" s="12"/>
      <c r="AA72" s="12"/>
      <c r="AB72" s="12"/>
      <c r="AC72" s="12"/>
      <c r="AD72" s="12"/>
      <c r="AE72" s="12"/>
      <c r="AF72" s="12"/>
    </row>
    <row r="73" ht="46.5" customHeight="1">
      <c r="A73" s="1"/>
      <c r="B73" s="2"/>
      <c r="C73" s="2"/>
      <c r="D73" s="3"/>
      <c r="E73" s="3"/>
      <c r="F73" s="3"/>
      <c r="G73" s="3"/>
      <c r="H73" s="4"/>
      <c r="I73" s="5"/>
      <c r="J73" s="6"/>
      <c r="K73" s="7"/>
      <c r="L73" s="8"/>
      <c r="M73" s="9"/>
      <c r="N73" s="9"/>
      <c r="O73" s="9"/>
      <c r="P73" s="10"/>
      <c r="Q73" s="11"/>
      <c r="R73" s="11"/>
      <c r="S73" s="11"/>
      <c r="T73" s="11"/>
      <c r="U73" s="11"/>
      <c r="V73" s="11"/>
      <c r="W73" s="11"/>
      <c r="X73" s="11"/>
      <c r="Y73" s="11"/>
      <c r="Z73" s="12"/>
      <c r="AA73" s="12"/>
      <c r="AB73" s="12"/>
      <c r="AC73" s="12"/>
      <c r="AD73" s="12"/>
      <c r="AE73" s="12"/>
      <c r="AF73" s="12"/>
    </row>
    <row r="74" ht="46.5" customHeight="1">
      <c r="A74" s="1"/>
      <c r="B74" s="2"/>
      <c r="C74" s="2"/>
      <c r="D74" s="3"/>
      <c r="E74" s="3"/>
      <c r="F74" s="3"/>
      <c r="G74" s="3"/>
      <c r="H74" s="4"/>
      <c r="I74" s="5"/>
      <c r="J74" s="6"/>
      <c r="K74" s="7"/>
      <c r="L74" s="8"/>
      <c r="M74" s="9"/>
      <c r="N74" s="9"/>
      <c r="O74" s="9"/>
      <c r="P74" s="10"/>
      <c r="Q74" s="11"/>
      <c r="R74" s="11"/>
      <c r="S74" s="11"/>
      <c r="T74" s="11"/>
      <c r="U74" s="11"/>
      <c r="V74" s="11"/>
      <c r="W74" s="11"/>
      <c r="X74" s="11"/>
      <c r="Y74" s="11"/>
      <c r="Z74" s="12"/>
      <c r="AA74" s="12"/>
      <c r="AB74" s="12"/>
      <c r="AC74" s="12"/>
      <c r="AD74" s="12"/>
      <c r="AE74" s="12"/>
      <c r="AF74" s="12"/>
    </row>
    <row r="75" ht="46.5" customHeight="1">
      <c r="A75" s="1"/>
      <c r="B75" s="2"/>
      <c r="C75" s="2"/>
      <c r="D75" s="3"/>
      <c r="E75" s="3"/>
      <c r="F75" s="3"/>
      <c r="G75" s="3"/>
      <c r="H75" s="4"/>
      <c r="I75" s="5"/>
      <c r="J75" s="6"/>
      <c r="K75" s="7"/>
      <c r="L75" s="8"/>
      <c r="M75" s="9"/>
      <c r="N75" s="9"/>
      <c r="O75" s="9"/>
      <c r="P75" s="10"/>
      <c r="Q75" s="11"/>
      <c r="R75" s="11"/>
      <c r="S75" s="11"/>
      <c r="T75" s="11"/>
      <c r="U75" s="11"/>
      <c r="V75" s="11"/>
      <c r="W75" s="11"/>
      <c r="X75" s="11"/>
      <c r="Y75" s="11"/>
      <c r="Z75" s="12"/>
      <c r="AA75" s="12"/>
      <c r="AB75" s="12"/>
      <c r="AC75" s="12"/>
      <c r="AD75" s="12"/>
      <c r="AE75" s="12"/>
      <c r="AF75" s="12"/>
    </row>
    <row r="76" ht="46.5" customHeight="1">
      <c r="A76" s="1"/>
      <c r="B76" s="2"/>
      <c r="C76" s="2"/>
      <c r="D76" s="3"/>
      <c r="E76" s="3"/>
      <c r="F76" s="3"/>
      <c r="G76" s="3"/>
      <c r="H76" s="4"/>
      <c r="I76" s="5"/>
      <c r="J76" s="6"/>
      <c r="K76" s="7"/>
      <c r="L76" s="8"/>
      <c r="M76" s="9"/>
      <c r="N76" s="9"/>
      <c r="O76" s="9"/>
      <c r="P76" s="10"/>
      <c r="Q76" s="11"/>
      <c r="R76" s="11"/>
      <c r="S76" s="11"/>
      <c r="T76" s="11"/>
      <c r="U76" s="11"/>
      <c r="V76" s="11"/>
      <c r="W76" s="11"/>
      <c r="X76" s="11"/>
      <c r="Y76" s="11"/>
      <c r="Z76" s="12"/>
      <c r="AA76" s="12"/>
      <c r="AB76" s="12"/>
      <c r="AC76" s="12"/>
      <c r="AD76" s="12"/>
      <c r="AE76" s="12"/>
      <c r="AF76" s="12"/>
    </row>
    <row r="77" ht="46.5" customHeight="1">
      <c r="A77" s="1"/>
      <c r="B77" s="2"/>
      <c r="C77" s="2"/>
      <c r="D77" s="3"/>
      <c r="E77" s="3"/>
      <c r="F77" s="3"/>
      <c r="G77" s="3"/>
      <c r="H77" s="4"/>
      <c r="I77" s="5"/>
      <c r="J77" s="6"/>
      <c r="K77" s="7"/>
      <c r="L77" s="8"/>
      <c r="M77" s="9"/>
      <c r="N77" s="9"/>
      <c r="O77" s="9"/>
      <c r="P77" s="10"/>
      <c r="Q77" s="11"/>
      <c r="R77" s="11"/>
      <c r="S77" s="11"/>
      <c r="T77" s="11"/>
      <c r="U77" s="11"/>
      <c r="V77" s="11"/>
      <c r="W77" s="11"/>
      <c r="X77" s="11"/>
      <c r="Y77" s="11"/>
      <c r="Z77" s="12"/>
      <c r="AA77" s="12"/>
      <c r="AB77" s="12"/>
      <c r="AC77" s="12"/>
      <c r="AD77" s="12"/>
      <c r="AE77" s="12"/>
      <c r="AF77" s="12"/>
    </row>
    <row r="78" ht="46.5" customHeight="1">
      <c r="A78" s="1"/>
      <c r="B78" s="2"/>
      <c r="C78" s="2"/>
      <c r="D78" s="3"/>
      <c r="E78" s="3"/>
      <c r="F78" s="3"/>
      <c r="G78" s="3"/>
      <c r="H78" s="4"/>
      <c r="I78" s="5"/>
      <c r="J78" s="6"/>
      <c r="K78" s="7"/>
      <c r="L78" s="8"/>
      <c r="M78" s="9"/>
      <c r="N78" s="9"/>
      <c r="O78" s="9"/>
      <c r="P78" s="10"/>
      <c r="Q78" s="11"/>
      <c r="R78" s="11"/>
      <c r="S78" s="11"/>
      <c r="T78" s="11"/>
      <c r="U78" s="11"/>
      <c r="V78" s="11"/>
      <c r="W78" s="11"/>
      <c r="X78" s="11"/>
      <c r="Y78" s="11"/>
      <c r="Z78" s="12"/>
      <c r="AA78" s="12"/>
      <c r="AB78" s="12"/>
      <c r="AC78" s="12"/>
      <c r="AD78" s="12"/>
      <c r="AE78" s="12"/>
      <c r="AF78" s="12"/>
    </row>
    <row r="79" ht="46.5" customHeight="1">
      <c r="A79" s="1"/>
      <c r="B79" s="2"/>
      <c r="C79" s="2"/>
      <c r="D79" s="3"/>
      <c r="E79" s="3"/>
      <c r="F79" s="3"/>
      <c r="G79" s="3"/>
      <c r="H79" s="4"/>
      <c r="I79" s="5"/>
      <c r="J79" s="6"/>
      <c r="K79" s="7"/>
      <c r="L79" s="8"/>
      <c r="M79" s="9"/>
      <c r="N79" s="9"/>
      <c r="O79" s="9"/>
      <c r="P79" s="10"/>
      <c r="Q79" s="11"/>
      <c r="R79" s="11"/>
      <c r="S79" s="11"/>
      <c r="T79" s="11"/>
      <c r="U79" s="11"/>
      <c r="V79" s="11"/>
      <c r="W79" s="11"/>
      <c r="X79" s="11"/>
      <c r="Y79" s="11"/>
      <c r="Z79" s="12"/>
      <c r="AA79" s="12"/>
      <c r="AB79" s="12"/>
      <c r="AC79" s="12"/>
      <c r="AD79" s="12"/>
      <c r="AE79" s="12"/>
      <c r="AF79" s="12"/>
    </row>
    <row r="80" ht="46.5" customHeight="1">
      <c r="A80" s="1"/>
      <c r="B80" s="2"/>
      <c r="C80" s="2"/>
      <c r="D80" s="3"/>
      <c r="E80" s="3"/>
      <c r="F80" s="3"/>
      <c r="G80" s="3"/>
      <c r="H80" s="4"/>
      <c r="I80" s="5"/>
      <c r="J80" s="6"/>
      <c r="K80" s="7"/>
      <c r="L80" s="8"/>
      <c r="M80" s="9"/>
      <c r="N80" s="9"/>
      <c r="O80" s="9"/>
      <c r="P80" s="10"/>
      <c r="Q80" s="11"/>
      <c r="R80" s="11"/>
      <c r="S80" s="11"/>
      <c r="T80" s="11"/>
      <c r="U80" s="11"/>
      <c r="V80" s="11"/>
      <c r="W80" s="11"/>
      <c r="X80" s="11"/>
      <c r="Y80" s="11"/>
      <c r="Z80" s="12"/>
      <c r="AA80" s="12"/>
      <c r="AB80" s="12"/>
      <c r="AC80" s="12"/>
      <c r="AD80" s="12"/>
      <c r="AE80" s="12"/>
      <c r="AF80" s="12"/>
    </row>
    <row r="81" ht="46.5" customHeight="1">
      <c r="A81" s="1"/>
      <c r="B81" s="2"/>
      <c r="C81" s="2"/>
      <c r="D81" s="3"/>
      <c r="E81" s="3"/>
      <c r="F81" s="3"/>
      <c r="G81" s="3"/>
      <c r="H81" s="4"/>
      <c r="I81" s="5"/>
      <c r="J81" s="6"/>
      <c r="K81" s="7"/>
      <c r="L81" s="8"/>
      <c r="M81" s="9"/>
      <c r="N81" s="9"/>
      <c r="O81" s="9"/>
      <c r="P81" s="10"/>
      <c r="Q81" s="11"/>
      <c r="R81" s="11"/>
      <c r="S81" s="11"/>
      <c r="T81" s="11"/>
      <c r="U81" s="11"/>
      <c r="V81" s="11"/>
      <c r="W81" s="11"/>
      <c r="X81" s="11"/>
      <c r="Y81" s="11"/>
      <c r="Z81" s="12"/>
      <c r="AA81" s="12"/>
      <c r="AB81" s="12"/>
      <c r="AC81" s="12"/>
      <c r="AD81" s="12"/>
      <c r="AE81" s="12"/>
      <c r="AF81" s="12"/>
    </row>
    <row r="82" ht="46.5" customHeight="1">
      <c r="A82" s="1"/>
      <c r="B82" s="2"/>
      <c r="C82" s="2"/>
      <c r="D82" s="3"/>
      <c r="E82" s="3"/>
      <c r="F82" s="3"/>
      <c r="G82" s="3"/>
      <c r="H82" s="4"/>
      <c r="I82" s="5"/>
      <c r="J82" s="6"/>
      <c r="K82" s="7"/>
      <c r="L82" s="8"/>
      <c r="M82" s="9"/>
      <c r="N82" s="9"/>
      <c r="O82" s="9"/>
      <c r="P82" s="10"/>
      <c r="Q82" s="11"/>
      <c r="R82" s="11"/>
      <c r="S82" s="11"/>
      <c r="T82" s="11"/>
      <c r="U82" s="11"/>
      <c r="V82" s="11"/>
      <c r="W82" s="11"/>
      <c r="X82" s="11"/>
      <c r="Y82" s="11"/>
      <c r="Z82" s="12"/>
      <c r="AA82" s="12"/>
      <c r="AB82" s="12"/>
      <c r="AC82" s="12"/>
      <c r="AD82" s="12"/>
      <c r="AE82" s="12"/>
      <c r="AF82" s="12"/>
    </row>
    <row r="83" ht="46.5" customHeight="1">
      <c r="A83" s="1"/>
      <c r="B83" s="2"/>
      <c r="C83" s="2"/>
      <c r="D83" s="3"/>
      <c r="E83" s="3"/>
      <c r="F83" s="3"/>
      <c r="G83" s="3"/>
      <c r="H83" s="4"/>
      <c r="I83" s="5"/>
      <c r="J83" s="6"/>
      <c r="K83" s="7"/>
      <c r="L83" s="8"/>
      <c r="M83" s="9"/>
      <c r="N83" s="9"/>
      <c r="O83" s="9"/>
      <c r="P83" s="10"/>
      <c r="Q83" s="11"/>
      <c r="R83" s="11"/>
      <c r="S83" s="11"/>
      <c r="T83" s="11"/>
      <c r="U83" s="11"/>
      <c r="V83" s="11"/>
      <c r="W83" s="11"/>
      <c r="X83" s="11"/>
      <c r="Y83" s="11"/>
      <c r="Z83" s="12"/>
      <c r="AA83" s="12"/>
      <c r="AB83" s="12"/>
      <c r="AC83" s="12"/>
      <c r="AD83" s="12"/>
      <c r="AE83" s="12"/>
      <c r="AF83" s="12"/>
    </row>
    <row r="84" ht="46.5" customHeight="1">
      <c r="A84" s="1"/>
      <c r="B84" s="2"/>
      <c r="C84" s="2"/>
      <c r="D84" s="3"/>
      <c r="E84" s="3"/>
      <c r="F84" s="3"/>
      <c r="G84" s="3"/>
      <c r="H84" s="4"/>
      <c r="I84" s="5"/>
      <c r="J84" s="6"/>
      <c r="K84" s="7"/>
      <c r="L84" s="8"/>
      <c r="M84" s="9"/>
      <c r="N84" s="9"/>
      <c r="O84" s="9"/>
      <c r="P84" s="10"/>
      <c r="Q84" s="11"/>
      <c r="R84" s="11"/>
      <c r="S84" s="11"/>
      <c r="T84" s="11"/>
      <c r="U84" s="11"/>
      <c r="V84" s="11"/>
      <c r="W84" s="11"/>
      <c r="X84" s="11"/>
      <c r="Y84" s="11"/>
      <c r="Z84" s="12"/>
      <c r="AA84" s="12"/>
      <c r="AB84" s="12"/>
      <c r="AC84" s="12"/>
      <c r="AD84" s="12"/>
      <c r="AE84" s="12"/>
      <c r="AF84" s="12"/>
    </row>
    <row r="85" ht="46.5" customHeight="1">
      <c r="A85" s="1"/>
      <c r="B85" s="2"/>
      <c r="C85" s="2"/>
      <c r="D85" s="3"/>
      <c r="E85" s="3"/>
      <c r="F85" s="3"/>
      <c r="G85" s="3"/>
      <c r="H85" s="4"/>
      <c r="I85" s="5"/>
      <c r="J85" s="6"/>
      <c r="K85" s="7"/>
      <c r="L85" s="8"/>
      <c r="M85" s="9"/>
      <c r="N85" s="9"/>
      <c r="O85" s="9"/>
      <c r="P85" s="10"/>
      <c r="Q85" s="11"/>
      <c r="R85" s="11"/>
      <c r="S85" s="11"/>
      <c r="T85" s="11"/>
      <c r="U85" s="11"/>
      <c r="V85" s="11"/>
      <c r="W85" s="11"/>
      <c r="X85" s="11"/>
      <c r="Y85" s="11"/>
      <c r="Z85" s="12"/>
      <c r="AA85" s="12"/>
      <c r="AB85" s="12"/>
      <c r="AC85" s="12"/>
      <c r="AD85" s="12"/>
      <c r="AE85" s="12"/>
      <c r="AF85" s="12"/>
    </row>
    <row r="86" ht="46.5" customHeight="1">
      <c r="A86" s="1"/>
      <c r="B86" s="2"/>
      <c r="C86" s="2"/>
      <c r="D86" s="3"/>
      <c r="E86" s="3"/>
      <c r="F86" s="3"/>
      <c r="G86" s="3"/>
      <c r="H86" s="4"/>
      <c r="I86" s="5"/>
      <c r="J86" s="6"/>
      <c r="K86" s="7"/>
      <c r="L86" s="8"/>
      <c r="M86" s="9"/>
      <c r="N86" s="9"/>
      <c r="O86" s="9"/>
      <c r="P86" s="10"/>
      <c r="Q86" s="11"/>
      <c r="R86" s="11"/>
      <c r="S86" s="11"/>
      <c r="T86" s="11"/>
      <c r="U86" s="11"/>
      <c r="V86" s="11"/>
      <c r="W86" s="11"/>
      <c r="X86" s="11"/>
      <c r="Y86" s="11"/>
      <c r="Z86" s="12"/>
      <c r="AA86" s="12"/>
      <c r="AB86" s="12"/>
      <c r="AC86" s="12"/>
      <c r="AD86" s="12"/>
      <c r="AE86" s="12"/>
      <c r="AF86" s="12"/>
    </row>
    <row r="87" ht="46.5" customHeight="1">
      <c r="A87" s="1"/>
      <c r="B87" s="2"/>
      <c r="C87" s="2"/>
      <c r="D87" s="3"/>
      <c r="E87" s="3"/>
      <c r="F87" s="3"/>
      <c r="G87" s="3"/>
      <c r="H87" s="4"/>
      <c r="I87" s="5"/>
      <c r="J87" s="6"/>
      <c r="K87" s="7"/>
      <c r="L87" s="8"/>
      <c r="M87" s="9"/>
      <c r="N87" s="9"/>
      <c r="O87" s="9"/>
      <c r="P87" s="10"/>
      <c r="Q87" s="11"/>
      <c r="R87" s="11"/>
      <c r="S87" s="11"/>
      <c r="T87" s="11"/>
      <c r="U87" s="11"/>
      <c r="V87" s="11"/>
      <c r="W87" s="11"/>
      <c r="X87" s="11"/>
      <c r="Y87" s="11"/>
      <c r="Z87" s="12"/>
      <c r="AA87" s="12"/>
      <c r="AB87" s="12"/>
      <c r="AC87" s="12"/>
      <c r="AD87" s="12"/>
      <c r="AE87" s="12"/>
      <c r="AF87" s="12"/>
    </row>
    <row r="88" ht="46.5" customHeight="1">
      <c r="A88" s="1"/>
      <c r="B88" s="2"/>
      <c r="C88" s="2"/>
      <c r="D88" s="3"/>
      <c r="E88" s="3"/>
      <c r="F88" s="3"/>
      <c r="G88" s="3"/>
      <c r="H88" s="4"/>
      <c r="I88" s="5"/>
      <c r="J88" s="6"/>
      <c r="K88" s="7"/>
      <c r="L88" s="8"/>
      <c r="M88" s="9"/>
      <c r="N88" s="9"/>
      <c r="O88" s="9"/>
      <c r="P88" s="10"/>
      <c r="Q88" s="11"/>
      <c r="R88" s="11"/>
      <c r="S88" s="11"/>
      <c r="T88" s="11"/>
      <c r="U88" s="11"/>
      <c r="V88" s="11"/>
      <c r="W88" s="11"/>
      <c r="X88" s="11"/>
      <c r="Y88" s="11"/>
      <c r="Z88" s="12"/>
      <c r="AA88" s="12"/>
      <c r="AB88" s="12"/>
      <c r="AC88" s="12"/>
      <c r="AD88" s="12"/>
      <c r="AE88" s="12"/>
      <c r="AF88" s="12"/>
    </row>
    <row r="89" ht="46.5" customHeight="1">
      <c r="A89" s="1"/>
      <c r="B89" s="2"/>
      <c r="C89" s="2"/>
      <c r="D89" s="3"/>
      <c r="E89" s="3"/>
      <c r="F89" s="3"/>
      <c r="G89" s="3"/>
      <c r="H89" s="4"/>
      <c r="I89" s="5"/>
      <c r="J89" s="6"/>
      <c r="K89" s="7"/>
      <c r="L89" s="8"/>
      <c r="M89" s="9"/>
      <c r="N89" s="9"/>
      <c r="O89" s="9"/>
      <c r="P89" s="10"/>
      <c r="Q89" s="11"/>
      <c r="R89" s="11"/>
      <c r="S89" s="11"/>
      <c r="T89" s="11"/>
      <c r="U89" s="11"/>
      <c r="V89" s="11"/>
      <c r="W89" s="11"/>
      <c r="X89" s="11"/>
      <c r="Y89" s="11"/>
      <c r="Z89" s="12"/>
      <c r="AA89" s="12"/>
      <c r="AB89" s="12"/>
      <c r="AC89" s="12"/>
      <c r="AD89" s="12"/>
      <c r="AE89" s="12"/>
      <c r="AF89" s="12"/>
    </row>
    <row r="90" ht="46.5" customHeight="1">
      <c r="A90" s="1"/>
      <c r="B90" s="2"/>
      <c r="C90" s="2"/>
      <c r="D90" s="3"/>
      <c r="E90" s="3"/>
      <c r="F90" s="3"/>
      <c r="G90" s="3"/>
      <c r="H90" s="4"/>
      <c r="I90" s="5"/>
      <c r="J90" s="6"/>
      <c r="K90" s="7"/>
      <c r="L90" s="8"/>
      <c r="M90" s="9"/>
      <c r="N90" s="9"/>
      <c r="O90" s="9"/>
      <c r="P90" s="10"/>
      <c r="Q90" s="11"/>
      <c r="R90" s="11"/>
      <c r="S90" s="11"/>
      <c r="T90" s="11"/>
      <c r="U90" s="11"/>
      <c r="V90" s="11"/>
      <c r="W90" s="11"/>
      <c r="X90" s="11"/>
      <c r="Y90" s="11"/>
      <c r="Z90" s="12"/>
      <c r="AA90" s="12"/>
      <c r="AB90" s="12"/>
      <c r="AC90" s="12"/>
      <c r="AD90" s="12"/>
      <c r="AE90" s="12"/>
      <c r="AF90" s="12"/>
    </row>
    <row r="91" ht="46.5" customHeight="1">
      <c r="A91" s="1"/>
      <c r="B91" s="2"/>
      <c r="C91" s="2"/>
      <c r="D91" s="3"/>
      <c r="E91" s="3"/>
      <c r="F91" s="3"/>
      <c r="G91" s="3"/>
      <c r="H91" s="4"/>
      <c r="I91" s="5"/>
      <c r="J91" s="6"/>
      <c r="K91" s="7"/>
      <c r="L91" s="8"/>
      <c r="M91" s="9"/>
      <c r="N91" s="9"/>
      <c r="O91" s="9"/>
      <c r="P91" s="10"/>
      <c r="Q91" s="11"/>
      <c r="R91" s="11"/>
      <c r="S91" s="11"/>
      <c r="T91" s="11"/>
      <c r="U91" s="11"/>
      <c r="V91" s="11"/>
      <c r="W91" s="11"/>
      <c r="X91" s="11"/>
      <c r="Y91" s="11"/>
      <c r="Z91" s="12"/>
      <c r="AA91" s="12"/>
      <c r="AB91" s="12"/>
      <c r="AC91" s="12"/>
      <c r="AD91" s="12"/>
      <c r="AE91" s="12"/>
      <c r="AF91" s="12"/>
    </row>
    <row r="92" ht="46.5" customHeight="1">
      <c r="A92" s="1"/>
      <c r="B92" s="2"/>
      <c r="C92" s="2"/>
      <c r="D92" s="3"/>
      <c r="E92" s="3"/>
      <c r="F92" s="3"/>
      <c r="G92" s="3"/>
      <c r="H92" s="4"/>
      <c r="I92" s="5"/>
      <c r="J92" s="6"/>
      <c r="K92" s="7"/>
      <c r="L92" s="8"/>
      <c r="M92" s="9"/>
      <c r="N92" s="9"/>
      <c r="O92" s="9"/>
      <c r="P92" s="10"/>
      <c r="Q92" s="11"/>
      <c r="R92" s="11"/>
      <c r="S92" s="11"/>
      <c r="T92" s="11"/>
      <c r="U92" s="11"/>
      <c r="V92" s="11"/>
      <c r="W92" s="11"/>
      <c r="X92" s="11"/>
      <c r="Y92" s="11"/>
      <c r="Z92" s="12"/>
      <c r="AA92" s="12"/>
      <c r="AB92" s="12"/>
      <c r="AC92" s="12"/>
      <c r="AD92" s="12"/>
      <c r="AE92" s="12"/>
      <c r="AF92" s="12"/>
    </row>
    <row r="93" ht="46.5" customHeight="1">
      <c r="A93" s="1"/>
      <c r="B93" s="2"/>
      <c r="C93" s="2"/>
      <c r="D93" s="3"/>
      <c r="E93" s="3"/>
      <c r="F93" s="3"/>
      <c r="G93" s="3"/>
      <c r="H93" s="4"/>
      <c r="I93" s="5"/>
      <c r="J93" s="6"/>
      <c r="K93" s="7"/>
      <c r="L93" s="8"/>
      <c r="M93" s="9"/>
      <c r="N93" s="9"/>
      <c r="O93" s="9"/>
      <c r="P93" s="10"/>
      <c r="Q93" s="11"/>
      <c r="R93" s="11"/>
      <c r="S93" s="11"/>
      <c r="T93" s="11"/>
      <c r="U93" s="11"/>
      <c r="V93" s="11"/>
      <c r="W93" s="11"/>
      <c r="X93" s="11"/>
      <c r="Y93" s="11"/>
      <c r="Z93" s="12"/>
      <c r="AA93" s="12"/>
      <c r="AB93" s="12"/>
      <c r="AC93" s="12"/>
      <c r="AD93" s="12"/>
      <c r="AE93" s="12"/>
      <c r="AF93" s="12"/>
    </row>
    <row r="94" ht="46.5" customHeight="1">
      <c r="A94" s="1"/>
      <c r="B94" s="2"/>
      <c r="C94" s="2"/>
      <c r="D94" s="3"/>
      <c r="E94" s="3"/>
      <c r="F94" s="3"/>
      <c r="G94" s="3"/>
      <c r="H94" s="4"/>
      <c r="I94" s="5"/>
      <c r="J94" s="6"/>
      <c r="K94" s="7"/>
      <c r="L94" s="8"/>
      <c r="M94" s="9"/>
      <c r="N94" s="9"/>
      <c r="O94" s="9"/>
      <c r="P94" s="10"/>
      <c r="Q94" s="11"/>
      <c r="R94" s="11"/>
      <c r="S94" s="11"/>
      <c r="T94" s="11"/>
      <c r="U94" s="11"/>
      <c r="V94" s="11"/>
      <c r="W94" s="11"/>
      <c r="X94" s="11"/>
      <c r="Y94" s="11"/>
      <c r="Z94" s="12"/>
      <c r="AA94" s="12"/>
      <c r="AB94" s="12"/>
      <c r="AC94" s="12"/>
      <c r="AD94" s="12"/>
      <c r="AE94" s="12"/>
      <c r="AF94" s="12"/>
    </row>
    <row r="95" ht="46.5" customHeight="1">
      <c r="A95" s="1"/>
      <c r="B95" s="2"/>
      <c r="C95" s="2"/>
      <c r="D95" s="3"/>
      <c r="E95" s="3"/>
      <c r="F95" s="3"/>
      <c r="G95" s="3"/>
      <c r="H95" s="4"/>
      <c r="I95" s="5"/>
      <c r="J95" s="6"/>
      <c r="K95" s="7"/>
      <c r="L95" s="8"/>
      <c r="M95" s="9"/>
      <c r="N95" s="9"/>
      <c r="O95" s="9"/>
      <c r="P95" s="10"/>
      <c r="Q95" s="11"/>
      <c r="R95" s="11"/>
      <c r="S95" s="11"/>
      <c r="T95" s="11"/>
      <c r="U95" s="11"/>
      <c r="V95" s="11"/>
      <c r="W95" s="11"/>
      <c r="X95" s="11"/>
      <c r="Y95" s="11"/>
      <c r="Z95" s="12"/>
      <c r="AA95" s="12"/>
      <c r="AB95" s="12"/>
      <c r="AC95" s="12"/>
      <c r="AD95" s="12"/>
      <c r="AE95" s="12"/>
      <c r="AF95" s="12"/>
    </row>
    <row r="96" ht="46.5" customHeight="1">
      <c r="A96" s="1"/>
      <c r="B96" s="2"/>
      <c r="C96" s="2"/>
      <c r="D96" s="3"/>
      <c r="E96" s="3"/>
      <c r="F96" s="3"/>
      <c r="G96" s="3"/>
      <c r="H96" s="4"/>
      <c r="I96" s="5"/>
      <c r="J96" s="6"/>
      <c r="K96" s="7"/>
      <c r="L96" s="8"/>
      <c r="M96" s="9"/>
      <c r="N96" s="9"/>
      <c r="O96" s="9"/>
      <c r="P96" s="10"/>
      <c r="Q96" s="11"/>
      <c r="R96" s="11"/>
      <c r="S96" s="11"/>
      <c r="T96" s="11"/>
      <c r="U96" s="11"/>
      <c r="V96" s="11"/>
      <c r="W96" s="11"/>
      <c r="X96" s="11"/>
      <c r="Y96" s="11"/>
      <c r="Z96" s="12"/>
      <c r="AA96" s="12"/>
      <c r="AB96" s="12"/>
      <c r="AC96" s="12"/>
      <c r="AD96" s="12"/>
      <c r="AE96" s="12"/>
      <c r="AF96" s="12"/>
    </row>
    <row r="97" ht="46.5" customHeight="1">
      <c r="A97" s="1"/>
      <c r="B97" s="2"/>
      <c r="C97" s="2"/>
      <c r="D97" s="3"/>
      <c r="E97" s="3"/>
      <c r="F97" s="3"/>
      <c r="G97" s="3"/>
      <c r="H97" s="4"/>
      <c r="I97" s="5"/>
      <c r="J97" s="6"/>
      <c r="K97" s="7"/>
      <c r="L97" s="8"/>
      <c r="M97" s="9"/>
      <c r="N97" s="9"/>
      <c r="O97" s="9"/>
      <c r="P97" s="10"/>
      <c r="Q97" s="11"/>
      <c r="R97" s="11"/>
      <c r="S97" s="11"/>
      <c r="T97" s="11"/>
      <c r="U97" s="11"/>
      <c r="V97" s="11"/>
      <c r="W97" s="11"/>
      <c r="X97" s="11"/>
      <c r="Y97" s="11"/>
      <c r="Z97" s="12"/>
      <c r="AA97" s="12"/>
      <c r="AB97" s="12"/>
      <c r="AC97" s="12"/>
      <c r="AD97" s="12"/>
      <c r="AE97" s="12"/>
      <c r="AF97" s="12"/>
    </row>
    <row r="98" ht="46.5" customHeight="1">
      <c r="A98" s="1"/>
      <c r="B98" s="2"/>
      <c r="C98" s="2"/>
      <c r="D98" s="3"/>
      <c r="E98" s="3"/>
      <c r="F98" s="3"/>
      <c r="G98" s="3"/>
      <c r="H98" s="4"/>
      <c r="I98" s="5"/>
      <c r="J98" s="6"/>
      <c r="K98" s="7"/>
      <c r="L98" s="8"/>
      <c r="M98" s="9"/>
      <c r="N98" s="9"/>
      <c r="O98" s="9"/>
      <c r="P98" s="10"/>
      <c r="Q98" s="11"/>
      <c r="R98" s="11"/>
      <c r="S98" s="11"/>
      <c r="T98" s="11"/>
      <c r="U98" s="11"/>
      <c r="V98" s="11"/>
      <c r="W98" s="11"/>
      <c r="X98" s="11"/>
      <c r="Y98" s="11"/>
      <c r="Z98" s="12"/>
      <c r="AA98" s="12"/>
      <c r="AB98" s="12"/>
      <c r="AC98" s="12"/>
      <c r="AD98" s="12"/>
      <c r="AE98" s="12"/>
      <c r="AF98" s="12"/>
    </row>
    <row r="99" ht="46.5" customHeight="1">
      <c r="A99" s="1"/>
      <c r="B99" s="2"/>
      <c r="C99" s="2"/>
      <c r="D99" s="3"/>
      <c r="E99" s="3"/>
      <c r="F99" s="3"/>
      <c r="G99" s="3"/>
      <c r="H99" s="4"/>
      <c r="I99" s="5"/>
      <c r="J99" s="6"/>
      <c r="K99" s="7"/>
      <c r="L99" s="8"/>
      <c r="M99" s="9"/>
      <c r="N99" s="9"/>
      <c r="O99" s="9"/>
      <c r="P99" s="10"/>
      <c r="Q99" s="11"/>
      <c r="R99" s="11"/>
      <c r="S99" s="11"/>
      <c r="T99" s="11"/>
      <c r="U99" s="11"/>
      <c r="V99" s="11"/>
      <c r="W99" s="11"/>
      <c r="X99" s="11"/>
      <c r="Y99" s="11"/>
      <c r="Z99" s="12"/>
      <c r="AA99" s="12"/>
      <c r="AB99" s="12"/>
      <c r="AC99" s="12"/>
      <c r="AD99" s="12"/>
      <c r="AE99" s="12"/>
      <c r="AF99" s="12"/>
    </row>
    <row r="100" ht="46.5" customHeight="1">
      <c r="A100" s="1"/>
      <c r="B100" s="2"/>
      <c r="C100" s="2"/>
      <c r="D100" s="3"/>
      <c r="E100" s="3"/>
      <c r="F100" s="3"/>
      <c r="G100" s="3"/>
      <c r="H100" s="4"/>
      <c r="I100" s="5"/>
      <c r="J100" s="6"/>
      <c r="K100" s="7"/>
      <c r="L100" s="8"/>
      <c r="M100" s="9"/>
      <c r="N100" s="9"/>
      <c r="O100" s="9"/>
      <c r="P100" s="10"/>
      <c r="Q100" s="11"/>
      <c r="R100" s="11"/>
      <c r="S100" s="11"/>
      <c r="T100" s="11"/>
      <c r="U100" s="11"/>
      <c r="V100" s="11"/>
      <c r="W100" s="11"/>
      <c r="X100" s="11"/>
      <c r="Y100" s="11"/>
      <c r="Z100" s="12"/>
      <c r="AA100" s="12"/>
      <c r="AB100" s="12"/>
      <c r="AC100" s="12"/>
      <c r="AD100" s="12"/>
      <c r="AE100" s="12"/>
      <c r="AF100" s="12"/>
    </row>
    <row r="101" ht="46.5" customHeight="1">
      <c r="A101" s="1"/>
      <c r="B101" s="2"/>
      <c r="C101" s="2"/>
      <c r="D101" s="3"/>
      <c r="E101" s="3"/>
      <c r="F101" s="3"/>
      <c r="G101" s="3"/>
      <c r="H101" s="4"/>
      <c r="I101" s="5"/>
      <c r="J101" s="6"/>
      <c r="K101" s="7"/>
      <c r="L101" s="8"/>
      <c r="M101" s="9"/>
      <c r="N101" s="9"/>
      <c r="O101" s="9"/>
      <c r="P101" s="10"/>
      <c r="Q101" s="11"/>
      <c r="R101" s="11"/>
      <c r="S101" s="11"/>
      <c r="T101" s="11"/>
      <c r="U101" s="11"/>
      <c r="V101" s="11"/>
      <c r="W101" s="11"/>
      <c r="X101" s="11"/>
      <c r="Y101" s="11"/>
      <c r="Z101" s="12"/>
      <c r="AA101" s="12"/>
      <c r="AB101" s="12"/>
      <c r="AC101" s="12"/>
      <c r="AD101" s="12"/>
      <c r="AE101" s="12"/>
      <c r="AF101" s="12"/>
    </row>
    <row r="102" ht="46.5" customHeight="1">
      <c r="A102" s="1"/>
      <c r="B102" s="2"/>
      <c r="C102" s="2"/>
      <c r="D102" s="3"/>
      <c r="E102" s="3"/>
      <c r="F102" s="3"/>
      <c r="G102" s="3"/>
      <c r="H102" s="4"/>
      <c r="I102" s="5"/>
      <c r="J102" s="6"/>
      <c r="K102" s="7"/>
      <c r="L102" s="8"/>
      <c r="M102" s="9"/>
      <c r="N102" s="9"/>
      <c r="O102" s="9"/>
      <c r="P102" s="10"/>
      <c r="Q102" s="11"/>
      <c r="R102" s="11"/>
      <c r="S102" s="11"/>
      <c r="T102" s="11"/>
      <c r="U102" s="11"/>
      <c r="V102" s="11"/>
      <c r="W102" s="11"/>
      <c r="X102" s="11"/>
      <c r="Y102" s="11"/>
      <c r="Z102" s="12"/>
      <c r="AA102" s="12"/>
      <c r="AB102" s="12"/>
      <c r="AC102" s="12"/>
      <c r="AD102" s="12"/>
      <c r="AE102" s="12"/>
      <c r="AF102" s="12"/>
    </row>
    <row r="103" ht="46.5" customHeight="1">
      <c r="A103" s="1"/>
      <c r="B103" s="2"/>
      <c r="C103" s="2"/>
      <c r="D103" s="3"/>
      <c r="E103" s="3"/>
      <c r="F103" s="3"/>
      <c r="G103" s="3"/>
      <c r="H103" s="4"/>
      <c r="I103" s="5"/>
      <c r="J103" s="6"/>
      <c r="K103" s="7"/>
      <c r="L103" s="8"/>
      <c r="M103" s="9"/>
      <c r="N103" s="9"/>
      <c r="O103" s="9"/>
      <c r="P103" s="10"/>
      <c r="Q103" s="11"/>
      <c r="R103" s="11"/>
      <c r="S103" s="11"/>
      <c r="T103" s="11"/>
      <c r="U103" s="11"/>
      <c r="V103" s="11"/>
      <c r="W103" s="11"/>
      <c r="X103" s="11"/>
      <c r="Y103" s="11"/>
      <c r="Z103" s="12"/>
      <c r="AA103" s="12"/>
      <c r="AB103" s="12"/>
      <c r="AC103" s="12"/>
      <c r="AD103" s="12"/>
      <c r="AE103" s="12"/>
      <c r="AF103" s="12"/>
    </row>
    <row r="104" ht="46.5" customHeight="1">
      <c r="A104" s="1"/>
      <c r="B104" s="2"/>
      <c r="C104" s="2"/>
      <c r="D104" s="3"/>
      <c r="E104" s="3"/>
      <c r="F104" s="3"/>
      <c r="G104" s="3"/>
      <c r="H104" s="4"/>
      <c r="I104" s="5"/>
      <c r="J104" s="6"/>
      <c r="K104" s="7"/>
      <c r="L104" s="8"/>
      <c r="M104" s="9"/>
      <c r="N104" s="9"/>
      <c r="O104" s="9"/>
      <c r="P104" s="10"/>
      <c r="Q104" s="11"/>
      <c r="R104" s="11"/>
      <c r="S104" s="11"/>
      <c r="T104" s="11"/>
      <c r="U104" s="11"/>
      <c r="V104" s="11"/>
      <c r="W104" s="11"/>
      <c r="X104" s="11"/>
      <c r="Y104" s="11"/>
      <c r="Z104" s="12"/>
      <c r="AA104" s="12"/>
      <c r="AB104" s="12"/>
      <c r="AC104" s="12"/>
      <c r="AD104" s="12"/>
      <c r="AE104" s="12"/>
      <c r="AF104" s="12"/>
    </row>
    <row r="105" ht="46.5" customHeight="1">
      <c r="A105" s="1"/>
      <c r="B105" s="2"/>
      <c r="C105" s="2"/>
      <c r="D105" s="3"/>
      <c r="E105" s="3"/>
      <c r="F105" s="3"/>
      <c r="G105" s="3"/>
      <c r="H105" s="4"/>
      <c r="I105" s="5"/>
      <c r="J105" s="6"/>
      <c r="K105" s="7"/>
      <c r="L105" s="8"/>
      <c r="M105" s="9"/>
      <c r="N105" s="9"/>
      <c r="O105" s="9"/>
      <c r="P105" s="10"/>
      <c r="Q105" s="11"/>
      <c r="R105" s="11"/>
      <c r="S105" s="11"/>
      <c r="T105" s="11"/>
      <c r="U105" s="11"/>
      <c r="V105" s="11"/>
      <c r="W105" s="11"/>
      <c r="X105" s="11"/>
      <c r="Y105" s="11"/>
      <c r="Z105" s="12"/>
      <c r="AA105" s="12"/>
      <c r="AB105" s="12"/>
      <c r="AC105" s="12"/>
      <c r="AD105" s="12"/>
      <c r="AE105" s="12"/>
      <c r="AF105" s="12"/>
    </row>
    <row r="106" ht="46.5" customHeight="1">
      <c r="A106" s="1"/>
      <c r="B106" s="2"/>
      <c r="C106" s="2"/>
      <c r="D106" s="3"/>
      <c r="E106" s="3"/>
      <c r="F106" s="3"/>
      <c r="G106" s="3"/>
      <c r="H106" s="4"/>
      <c r="I106" s="5"/>
      <c r="J106" s="6"/>
      <c r="K106" s="7"/>
      <c r="L106" s="8"/>
      <c r="M106" s="9"/>
      <c r="N106" s="9"/>
      <c r="O106" s="9"/>
      <c r="P106" s="10"/>
      <c r="Q106" s="11"/>
      <c r="R106" s="11"/>
      <c r="S106" s="11"/>
      <c r="T106" s="11"/>
      <c r="U106" s="11"/>
      <c r="V106" s="11"/>
      <c r="W106" s="11"/>
      <c r="X106" s="11"/>
      <c r="Y106" s="11"/>
      <c r="Z106" s="12"/>
      <c r="AA106" s="12"/>
      <c r="AB106" s="12"/>
      <c r="AC106" s="12"/>
      <c r="AD106" s="12"/>
      <c r="AE106" s="12"/>
      <c r="AF106" s="12"/>
    </row>
    <row r="107" ht="46.5" customHeight="1">
      <c r="A107" s="1"/>
      <c r="B107" s="2"/>
      <c r="C107" s="2"/>
      <c r="D107" s="3"/>
      <c r="E107" s="3"/>
      <c r="F107" s="3"/>
      <c r="G107" s="3"/>
      <c r="H107" s="4"/>
      <c r="I107" s="5"/>
      <c r="J107" s="6"/>
      <c r="K107" s="7"/>
      <c r="L107" s="8"/>
      <c r="M107" s="9"/>
      <c r="N107" s="9"/>
      <c r="O107" s="9"/>
      <c r="P107" s="10"/>
      <c r="Q107" s="11"/>
      <c r="R107" s="11"/>
      <c r="S107" s="11"/>
      <c r="T107" s="11"/>
      <c r="U107" s="11"/>
      <c r="V107" s="11"/>
      <c r="W107" s="11"/>
      <c r="X107" s="11"/>
      <c r="Y107" s="11"/>
      <c r="Z107" s="12"/>
      <c r="AA107" s="12"/>
      <c r="AB107" s="12"/>
      <c r="AC107" s="12"/>
      <c r="AD107" s="12"/>
      <c r="AE107" s="12"/>
      <c r="AF107" s="12"/>
    </row>
    <row r="108" ht="46.5" customHeight="1">
      <c r="A108" s="1"/>
      <c r="B108" s="2"/>
      <c r="C108" s="2"/>
      <c r="D108" s="3"/>
      <c r="E108" s="3"/>
      <c r="F108" s="3"/>
      <c r="G108" s="3"/>
      <c r="H108" s="4"/>
      <c r="I108" s="5"/>
      <c r="J108" s="6"/>
      <c r="K108" s="7"/>
      <c r="L108" s="8"/>
      <c r="M108" s="9"/>
      <c r="N108" s="9"/>
      <c r="O108" s="9"/>
      <c r="P108" s="10"/>
      <c r="Q108" s="11"/>
      <c r="R108" s="11"/>
      <c r="S108" s="11"/>
      <c r="T108" s="11"/>
      <c r="U108" s="11"/>
      <c r="V108" s="11"/>
      <c r="W108" s="11"/>
      <c r="X108" s="11"/>
      <c r="Y108" s="11"/>
      <c r="Z108" s="12"/>
      <c r="AA108" s="12"/>
      <c r="AB108" s="12"/>
      <c r="AC108" s="12"/>
      <c r="AD108" s="12"/>
      <c r="AE108" s="12"/>
      <c r="AF108" s="12"/>
    </row>
    <row r="109" ht="46.5" customHeight="1">
      <c r="A109" s="1"/>
      <c r="B109" s="2"/>
      <c r="C109" s="2"/>
      <c r="D109" s="3"/>
      <c r="E109" s="3"/>
      <c r="F109" s="3"/>
      <c r="G109" s="3"/>
      <c r="H109" s="4"/>
      <c r="I109" s="5"/>
      <c r="J109" s="6"/>
      <c r="K109" s="7"/>
      <c r="L109" s="8"/>
      <c r="M109" s="9"/>
      <c r="N109" s="9"/>
      <c r="O109" s="9"/>
      <c r="P109" s="10"/>
      <c r="Q109" s="11"/>
      <c r="R109" s="11"/>
      <c r="S109" s="11"/>
      <c r="T109" s="11"/>
      <c r="U109" s="11"/>
      <c r="V109" s="11"/>
      <c r="W109" s="11"/>
      <c r="X109" s="11"/>
      <c r="Y109" s="11"/>
      <c r="Z109" s="12"/>
      <c r="AA109" s="12"/>
      <c r="AB109" s="12"/>
      <c r="AC109" s="12"/>
      <c r="AD109" s="12"/>
      <c r="AE109" s="12"/>
      <c r="AF109" s="12"/>
    </row>
    <row r="110" ht="46.5" customHeight="1">
      <c r="A110" s="1"/>
      <c r="B110" s="2"/>
      <c r="C110" s="2"/>
      <c r="D110" s="3"/>
      <c r="E110" s="3"/>
      <c r="F110" s="3"/>
      <c r="G110" s="3"/>
      <c r="H110" s="4"/>
      <c r="I110" s="5"/>
      <c r="J110" s="6"/>
      <c r="K110" s="7"/>
      <c r="L110" s="8"/>
      <c r="M110" s="9"/>
      <c r="N110" s="9"/>
      <c r="O110" s="9"/>
      <c r="P110" s="10"/>
      <c r="Q110" s="11"/>
      <c r="R110" s="11"/>
      <c r="S110" s="11"/>
      <c r="T110" s="11"/>
      <c r="U110" s="11"/>
      <c r="V110" s="11"/>
      <c r="W110" s="11"/>
      <c r="X110" s="11"/>
      <c r="Y110" s="11"/>
      <c r="Z110" s="12"/>
      <c r="AA110" s="12"/>
      <c r="AB110" s="12"/>
      <c r="AC110" s="12"/>
      <c r="AD110" s="12"/>
      <c r="AE110" s="12"/>
      <c r="AF110" s="12"/>
    </row>
    <row r="111" ht="46.5" customHeight="1">
      <c r="A111" s="1"/>
      <c r="B111" s="2"/>
      <c r="C111" s="2"/>
      <c r="D111" s="3"/>
      <c r="E111" s="3"/>
      <c r="F111" s="3"/>
      <c r="G111" s="3"/>
      <c r="H111" s="4"/>
      <c r="I111" s="5"/>
      <c r="J111" s="6"/>
      <c r="K111" s="7"/>
      <c r="L111" s="8"/>
      <c r="M111" s="9"/>
      <c r="N111" s="9"/>
      <c r="O111" s="9"/>
      <c r="P111" s="10"/>
      <c r="Q111" s="11"/>
      <c r="R111" s="11"/>
      <c r="S111" s="11"/>
      <c r="T111" s="11"/>
      <c r="U111" s="11"/>
      <c r="V111" s="11"/>
      <c r="W111" s="11"/>
      <c r="X111" s="11"/>
      <c r="Y111" s="11"/>
      <c r="Z111" s="12"/>
      <c r="AA111" s="12"/>
      <c r="AB111" s="12"/>
      <c r="AC111" s="12"/>
      <c r="AD111" s="12"/>
      <c r="AE111" s="12"/>
      <c r="AF111" s="12"/>
    </row>
    <row r="112" ht="46.5" customHeight="1">
      <c r="A112" s="1"/>
      <c r="B112" s="2"/>
      <c r="C112" s="2"/>
      <c r="D112" s="3"/>
      <c r="E112" s="3"/>
      <c r="F112" s="3"/>
      <c r="G112" s="3"/>
      <c r="H112" s="4"/>
      <c r="I112" s="5"/>
      <c r="J112" s="6"/>
      <c r="K112" s="7"/>
      <c r="L112" s="8"/>
      <c r="M112" s="9"/>
      <c r="N112" s="9"/>
      <c r="O112" s="9"/>
      <c r="P112" s="10"/>
      <c r="Q112" s="11"/>
      <c r="R112" s="11"/>
      <c r="S112" s="11"/>
      <c r="T112" s="11"/>
      <c r="U112" s="11"/>
      <c r="V112" s="11"/>
      <c r="W112" s="11"/>
      <c r="X112" s="11"/>
      <c r="Y112" s="11"/>
      <c r="Z112" s="12"/>
      <c r="AA112" s="12"/>
      <c r="AB112" s="12"/>
      <c r="AC112" s="12"/>
      <c r="AD112" s="12"/>
      <c r="AE112" s="12"/>
      <c r="AF112" s="12"/>
    </row>
    <row r="113" ht="46.5" customHeight="1">
      <c r="A113" s="1"/>
      <c r="B113" s="2"/>
      <c r="C113" s="2"/>
      <c r="D113" s="3"/>
      <c r="E113" s="3"/>
      <c r="F113" s="3"/>
      <c r="G113" s="3"/>
      <c r="H113" s="4"/>
      <c r="I113" s="5"/>
      <c r="J113" s="6"/>
      <c r="K113" s="7"/>
      <c r="L113" s="8"/>
      <c r="M113" s="9"/>
      <c r="N113" s="9"/>
      <c r="O113" s="9"/>
      <c r="P113" s="10"/>
      <c r="Q113" s="11"/>
      <c r="R113" s="11"/>
      <c r="S113" s="11"/>
      <c r="T113" s="11"/>
      <c r="U113" s="11"/>
      <c r="V113" s="11"/>
      <c r="W113" s="11"/>
      <c r="X113" s="11"/>
      <c r="Y113" s="11"/>
      <c r="Z113" s="12"/>
      <c r="AA113" s="12"/>
      <c r="AB113" s="12"/>
      <c r="AC113" s="12"/>
      <c r="AD113" s="12"/>
      <c r="AE113" s="12"/>
      <c r="AF113" s="12"/>
    </row>
    <row r="114" ht="46.5" customHeight="1">
      <c r="A114" s="1"/>
      <c r="B114" s="2"/>
      <c r="C114" s="2"/>
      <c r="D114" s="3"/>
      <c r="E114" s="3"/>
      <c r="F114" s="3"/>
      <c r="G114" s="3"/>
      <c r="H114" s="4"/>
      <c r="I114" s="5"/>
      <c r="J114" s="6"/>
      <c r="K114" s="7"/>
      <c r="L114" s="8"/>
      <c r="M114" s="9"/>
      <c r="N114" s="9"/>
      <c r="O114" s="9"/>
      <c r="P114" s="10"/>
      <c r="Q114" s="11"/>
      <c r="R114" s="11"/>
      <c r="S114" s="11"/>
      <c r="T114" s="11"/>
      <c r="U114" s="11"/>
      <c r="V114" s="11"/>
      <c r="W114" s="11"/>
      <c r="X114" s="11"/>
      <c r="Y114" s="11"/>
      <c r="Z114" s="12"/>
      <c r="AA114" s="12"/>
      <c r="AB114" s="12"/>
      <c r="AC114" s="12"/>
      <c r="AD114" s="12"/>
      <c r="AE114" s="12"/>
      <c r="AF114" s="12"/>
    </row>
    <row r="115" ht="46.5" customHeight="1">
      <c r="A115" s="1"/>
      <c r="B115" s="2"/>
      <c r="C115" s="2"/>
      <c r="D115" s="3"/>
      <c r="E115" s="3"/>
      <c r="F115" s="3"/>
      <c r="G115" s="3"/>
      <c r="H115" s="4"/>
      <c r="I115" s="5"/>
      <c r="J115" s="6"/>
      <c r="K115" s="7"/>
      <c r="L115" s="8"/>
      <c r="M115" s="9"/>
      <c r="N115" s="9"/>
      <c r="O115" s="9"/>
      <c r="P115" s="10"/>
      <c r="Q115" s="11"/>
      <c r="R115" s="11"/>
      <c r="S115" s="11"/>
      <c r="T115" s="11"/>
      <c r="U115" s="11"/>
      <c r="V115" s="11"/>
      <c r="W115" s="11"/>
      <c r="X115" s="11"/>
      <c r="Y115" s="11"/>
      <c r="Z115" s="12"/>
      <c r="AA115" s="12"/>
      <c r="AB115" s="12"/>
      <c r="AC115" s="12"/>
      <c r="AD115" s="12"/>
      <c r="AE115" s="12"/>
      <c r="AF115" s="12"/>
    </row>
    <row r="116" ht="46.5" customHeight="1">
      <c r="A116" s="1"/>
      <c r="B116" s="2"/>
      <c r="C116" s="2"/>
      <c r="D116" s="3"/>
      <c r="E116" s="3"/>
      <c r="F116" s="3"/>
      <c r="G116" s="3"/>
      <c r="H116" s="4"/>
      <c r="I116" s="5"/>
      <c r="J116" s="6"/>
      <c r="K116" s="7"/>
      <c r="L116" s="8"/>
      <c r="M116" s="9"/>
      <c r="N116" s="9"/>
      <c r="O116" s="9"/>
      <c r="P116" s="10"/>
      <c r="Q116" s="11"/>
      <c r="R116" s="11"/>
      <c r="S116" s="11"/>
      <c r="T116" s="11"/>
      <c r="U116" s="11"/>
      <c r="V116" s="11"/>
      <c r="W116" s="11"/>
      <c r="X116" s="11"/>
      <c r="Y116" s="11"/>
      <c r="Z116" s="12"/>
      <c r="AA116" s="12"/>
      <c r="AB116" s="12"/>
      <c r="AC116" s="12"/>
      <c r="AD116" s="12"/>
      <c r="AE116" s="12"/>
      <c r="AF116" s="12"/>
    </row>
    <row r="117" ht="46.5" customHeight="1">
      <c r="A117" s="1"/>
      <c r="B117" s="2"/>
      <c r="C117" s="2"/>
      <c r="D117" s="3"/>
      <c r="E117" s="3"/>
      <c r="F117" s="3"/>
      <c r="G117" s="3"/>
      <c r="H117" s="4"/>
      <c r="I117" s="5"/>
      <c r="J117" s="6"/>
      <c r="K117" s="7"/>
      <c r="L117" s="8"/>
      <c r="M117" s="9"/>
      <c r="N117" s="9"/>
      <c r="O117" s="9"/>
      <c r="P117" s="10"/>
      <c r="Q117" s="11"/>
      <c r="R117" s="11"/>
      <c r="S117" s="11"/>
      <c r="T117" s="11"/>
      <c r="U117" s="11"/>
      <c r="V117" s="11"/>
      <c r="W117" s="11"/>
      <c r="X117" s="11"/>
      <c r="Y117" s="11"/>
      <c r="Z117" s="12"/>
      <c r="AA117" s="12"/>
      <c r="AB117" s="12"/>
      <c r="AC117" s="12"/>
      <c r="AD117" s="12"/>
      <c r="AE117" s="12"/>
      <c r="AF117" s="12"/>
    </row>
    <row r="118" ht="46.5" customHeight="1">
      <c r="A118" s="1"/>
      <c r="B118" s="2"/>
      <c r="C118" s="2"/>
      <c r="D118" s="3"/>
      <c r="E118" s="3"/>
      <c r="F118" s="3"/>
      <c r="G118" s="3"/>
      <c r="H118" s="4"/>
      <c r="I118" s="5"/>
      <c r="J118" s="6"/>
      <c r="K118" s="7"/>
      <c r="L118" s="8"/>
      <c r="M118" s="9"/>
      <c r="N118" s="9"/>
      <c r="O118" s="9"/>
      <c r="P118" s="10"/>
      <c r="Q118" s="11"/>
      <c r="R118" s="11"/>
      <c r="S118" s="11"/>
      <c r="T118" s="11"/>
      <c r="U118" s="11"/>
      <c r="V118" s="11"/>
      <c r="W118" s="11"/>
      <c r="X118" s="11"/>
      <c r="Y118" s="11"/>
      <c r="Z118" s="12"/>
      <c r="AA118" s="12"/>
      <c r="AB118" s="12"/>
      <c r="AC118" s="12"/>
      <c r="AD118" s="12"/>
      <c r="AE118" s="12"/>
      <c r="AF118" s="12"/>
    </row>
    <row r="119" ht="46.5" customHeight="1">
      <c r="A119" s="1"/>
      <c r="B119" s="2"/>
      <c r="C119" s="2"/>
      <c r="D119" s="3"/>
      <c r="E119" s="3"/>
      <c r="F119" s="3"/>
      <c r="G119" s="3"/>
      <c r="H119" s="4"/>
      <c r="I119" s="5"/>
      <c r="J119" s="6"/>
      <c r="K119" s="7"/>
      <c r="L119" s="8"/>
      <c r="M119" s="9"/>
      <c r="N119" s="9"/>
      <c r="O119" s="9"/>
      <c r="P119" s="10"/>
      <c r="Q119" s="11"/>
      <c r="R119" s="11"/>
      <c r="S119" s="11"/>
      <c r="T119" s="11"/>
      <c r="U119" s="11"/>
      <c r="V119" s="11"/>
      <c r="W119" s="11"/>
      <c r="X119" s="11"/>
      <c r="Y119" s="11"/>
      <c r="Z119" s="12"/>
      <c r="AA119" s="12"/>
      <c r="AB119" s="12"/>
      <c r="AC119" s="12"/>
      <c r="AD119" s="12"/>
      <c r="AE119" s="12"/>
      <c r="AF119" s="12"/>
    </row>
    <row r="120" ht="46.5" customHeight="1">
      <c r="A120" s="1"/>
      <c r="B120" s="2"/>
      <c r="C120" s="2"/>
      <c r="D120" s="3"/>
      <c r="E120" s="3"/>
      <c r="F120" s="3"/>
      <c r="G120" s="3"/>
      <c r="H120" s="4"/>
      <c r="I120" s="5"/>
      <c r="J120" s="6"/>
      <c r="K120" s="7"/>
      <c r="L120" s="8"/>
      <c r="M120" s="9"/>
      <c r="N120" s="9"/>
      <c r="O120" s="9"/>
      <c r="P120" s="10"/>
      <c r="Q120" s="11"/>
      <c r="R120" s="11"/>
      <c r="S120" s="11"/>
      <c r="T120" s="11"/>
      <c r="U120" s="11"/>
      <c r="V120" s="11"/>
      <c r="W120" s="11"/>
      <c r="X120" s="11"/>
      <c r="Y120" s="11"/>
      <c r="Z120" s="12"/>
      <c r="AA120" s="12"/>
      <c r="AB120" s="12"/>
      <c r="AC120" s="12"/>
      <c r="AD120" s="12"/>
      <c r="AE120" s="12"/>
      <c r="AF120" s="12"/>
    </row>
    <row r="121" ht="46.5" customHeight="1">
      <c r="A121" s="1"/>
      <c r="B121" s="2"/>
      <c r="C121" s="2"/>
      <c r="D121" s="3"/>
      <c r="E121" s="3"/>
      <c r="F121" s="3"/>
      <c r="G121" s="3"/>
      <c r="H121" s="4"/>
      <c r="I121" s="5"/>
      <c r="J121" s="6"/>
      <c r="K121" s="7"/>
      <c r="L121" s="8"/>
      <c r="M121" s="9"/>
      <c r="N121" s="9"/>
      <c r="O121" s="9"/>
      <c r="P121" s="10"/>
      <c r="Q121" s="11"/>
      <c r="R121" s="11"/>
      <c r="S121" s="11"/>
      <c r="T121" s="11"/>
      <c r="U121" s="11"/>
      <c r="V121" s="11"/>
      <c r="W121" s="11"/>
      <c r="X121" s="11"/>
      <c r="Y121" s="11"/>
      <c r="Z121" s="12"/>
      <c r="AA121" s="12"/>
      <c r="AB121" s="12"/>
      <c r="AC121" s="12"/>
      <c r="AD121" s="12"/>
      <c r="AE121" s="12"/>
      <c r="AF121" s="12"/>
    </row>
    <row r="122" ht="46.5" customHeight="1">
      <c r="A122" s="1"/>
      <c r="B122" s="2"/>
      <c r="C122" s="2"/>
      <c r="D122" s="3"/>
      <c r="E122" s="3"/>
      <c r="F122" s="3"/>
      <c r="G122" s="3"/>
      <c r="H122" s="4"/>
      <c r="I122" s="5"/>
      <c r="J122" s="6"/>
      <c r="K122" s="7"/>
      <c r="L122" s="8"/>
      <c r="M122" s="9"/>
      <c r="N122" s="9"/>
      <c r="O122" s="9"/>
      <c r="P122" s="10"/>
      <c r="Q122" s="11"/>
      <c r="R122" s="11"/>
      <c r="S122" s="11"/>
      <c r="T122" s="11"/>
      <c r="U122" s="11"/>
      <c r="V122" s="11"/>
      <c r="W122" s="11"/>
      <c r="X122" s="11"/>
      <c r="Y122" s="11"/>
      <c r="Z122" s="12"/>
      <c r="AA122" s="12"/>
      <c r="AB122" s="12"/>
      <c r="AC122" s="12"/>
      <c r="AD122" s="12"/>
      <c r="AE122" s="12"/>
      <c r="AF122" s="12"/>
    </row>
    <row r="123" ht="46.5" customHeight="1">
      <c r="A123" s="1"/>
      <c r="B123" s="2"/>
      <c r="C123" s="2"/>
      <c r="D123" s="3"/>
      <c r="E123" s="3"/>
      <c r="F123" s="3"/>
      <c r="G123" s="3"/>
      <c r="H123" s="4"/>
      <c r="I123" s="5"/>
      <c r="J123" s="6"/>
      <c r="K123" s="7"/>
      <c r="L123" s="8"/>
      <c r="M123" s="9"/>
      <c r="N123" s="9"/>
      <c r="O123" s="9"/>
      <c r="P123" s="10"/>
      <c r="Q123" s="11"/>
      <c r="R123" s="11"/>
      <c r="S123" s="11"/>
      <c r="T123" s="11"/>
      <c r="U123" s="11"/>
      <c r="V123" s="11"/>
      <c r="W123" s="11"/>
      <c r="X123" s="11"/>
      <c r="Y123" s="11"/>
      <c r="Z123" s="12"/>
      <c r="AA123" s="12"/>
      <c r="AB123" s="12"/>
      <c r="AC123" s="12"/>
      <c r="AD123" s="12"/>
      <c r="AE123" s="12"/>
      <c r="AF123" s="12"/>
    </row>
    <row r="124" ht="46.5" customHeight="1">
      <c r="A124" s="1"/>
      <c r="B124" s="2"/>
      <c r="C124" s="2"/>
      <c r="D124" s="3"/>
      <c r="E124" s="3"/>
      <c r="F124" s="3"/>
      <c r="G124" s="3"/>
      <c r="H124" s="4"/>
      <c r="I124" s="5"/>
      <c r="J124" s="6"/>
      <c r="K124" s="7"/>
      <c r="L124" s="8"/>
      <c r="M124" s="9"/>
      <c r="N124" s="9"/>
      <c r="O124" s="9"/>
      <c r="P124" s="10"/>
      <c r="Q124" s="11"/>
      <c r="R124" s="11"/>
      <c r="S124" s="11"/>
      <c r="T124" s="11"/>
      <c r="U124" s="11"/>
      <c r="V124" s="11"/>
      <c r="W124" s="11"/>
      <c r="X124" s="11"/>
      <c r="Y124" s="11"/>
      <c r="Z124" s="12"/>
      <c r="AA124" s="12"/>
      <c r="AB124" s="12"/>
      <c r="AC124" s="12"/>
      <c r="AD124" s="12"/>
      <c r="AE124" s="12"/>
      <c r="AF124" s="12"/>
    </row>
    <row r="125" ht="46.5" customHeight="1">
      <c r="A125" s="1"/>
      <c r="B125" s="2"/>
      <c r="C125" s="2"/>
      <c r="D125" s="3"/>
      <c r="E125" s="3"/>
      <c r="F125" s="3"/>
      <c r="G125" s="3"/>
      <c r="H125" s="4"/>
      <c r="I125" s="5"/>
      <c r="J125" s="6"/>
      <c r="K125" s="7"/>
      <c r="L125" s="8"/>
      <c r="M125" s="9"/>
      <c r="N125" s="9"/>
      <c r="O125" s="9"/>
      <c r="P125" s="10"/>
      <c r="Q125" s="11"/>
      <c r="R125" s="11"/>
      <c r="S125" s="11"/>
      <c r="T125" s="11"/>
      <c r="U125" s="11"/>
      <c r="V125" s="11"/>
      <c r="W125" s="11"/>
      <c r="X125" s="11"/>
      <c r="Y125" s="11"/>
      <c r="Z125" s="12"/>
      <c r="AA125" s="12"/>
      <c r="AB125" s="12"/>
      <c r="AC125" s="12"/>
      <c r="AD125" s="12"/>
      <c r="AE125" s="12"/>
      <c r="AF125" s="12"/>
    </row>
    <row r="126" ht="46.5" customHeight="1">
      <c r="A126" s="1"/>
      <c r="B126" s="2"/>
      <c r="C126" s="2"/>
      <c r="D126" s="3"/>
      <c r="E126" s="3"/>
      <c r="F126" s="3"/>
      <c r="G126" s="3"/>
      <c r="H126" s="4"/>
      <c r="I126" s="5"/>
      <c r="J126" s="6"/>
      <c r="K126" s="7"/>
      <c r="L126" s="8"/>
      <c r="M126" s="9"/>
      <c r="N126" s="9"/>
      <c r="O126" s="9"/>
      <c r="P126" s="10"/>
      <c r="Q126" s="11"/>
      <c r="R126" s="11"/>
      <c r="S126" s="11"/>
      <c r="T126" s="11"/>
      <c r="U126" s="11"/>
      <c r="V126" s="11"/>
      <c r="W126" s="11"/>
      <c r="X126" s="11"/>
      <c r="Y126" s="11"/>
      <c r="Z126" s="12"/>
      <c r="AA126" s="12"/>
      <c r="AB126" s="12"/>
      <c r="AC126" s="12"/>
      <c r="AD126" s="12"/>
      <c r="AE126" s="12"/>
      <c r="AF126" s="12"/>
    </row>
    <row r="127" ht="46.5" customHeight="1">
      <c r="A127" s="1"/>
      <c r="B127" s="2"/>
      <c r="C127" s="2"/>
      <c r="D127" s="3"/>
      <c r="E127" s="3"/>
      <c r="F127" s="3"/>
      <c r="G127" s="3"/>
      <c r="H127" s="4"/>
      <c r="I127" s="5"/>
      <c r="J127" s="6"/>
      <c r="K127" s="7"/>
      <c r="L127" s="8"/>
      <c r="M127" s="9"/>
      <c r="N127" s="9"/>
      <c r="O127" s="9"/>
      <c r="P127" s="10"/>
      <c r="Q127" s="11"/>
      <c r="R127" s="11"/>
      <c r="S127" s="11"/>
      <c r="T127" s="11"/>
      <c r="U127" s="11"/>
      <c r="V127" s="11"/>
      <c r="W127" s="11"/>
      <c r="X127" s="11"/>
      <c r="Y127" s="11"/>
      <c r="Z127" s="12"/>
      <c r="AA127" s="12"/>
      <c r="AB127" s="12"/>
      <c r="AC127" s="12"/>
      <c r="AD127" s="12"/>
      <c r="AE127" s="12"/>
      <c r="AF127" s="12"/>
    </row>
    <row r="128" ht="46.5" customHeight="1">
      <c r="A128" s="1"/>
      <c r="B128" s="2"/>
      <c r="C128" s="2"/>
      <c r="D128" s="3"/>
      <c r="E128" s="3"/>
      <c r="F128" s="3"/>
      <c r="G128" s="3"/>
      <c r="H128" s="4"/>
      <c r="I128" s="5"/>
      <c r="J128" s="6"/>
      <c r="K128" s="7"/>
      <c r="L128" s="8"/>
      <c r="M128" s="9"/>
      <c r="N128" s="9"/>
      <c r="O128" s="9"/>
      <c r="P128" s="10"/>
      <c r="Q128" s="11"/>
      <c r="R128" s="11"/>
      <c r="S128" s="11"/>
      <c r="T128" s="11"/>
      <c r="U128" s="11"/>
      <c r="V128" s="11"/>
      <c r="W128" s="11"/>
      <c r="X128" s="11"/>
      <c r="Y128" s="11"/>
      <c r="Z128" s="12"/>
      <c r="AA128" s="12"/>
      <c r="AB128" s="12"/>
      <c r="AC128" s="12"/>
      <c r="AD128" s="12"/>
      <c r="AE128" s="12"/>
      <c r="AF128" s="12"/>
    </row>
    <row r="129" ht="46.5" customHeight="1">
      <c r="A129" s="1"/>
      <c r="B129" s="2"/>
      <c r="C129" s="2"/>
      <c r="D129" s="3"/>
      <c r="E129" s="3"/>
      <c r="F129" s="3"/>
      <c r="G129" s="3"/>
      <c r="H129" s="4"/>
      <c r="I129" s="5"/>
      <c r="J129" s="6"/>
      <c r="K129" s="7"/>
      <c r="L129" s="8"/>
      <c r="M129" s="9"/>
      <c r="N129" s="9"/>
      <c r="O129" s="9"/>
      <c r="P129" s="10"/>
      <c r="Q129" s="11"/>
      <c r="R129" s="11"/>
      <c r="S129" s="11"/>
      <c r="T129" s="11"/>
      <c r="U129" s="11"/>
      <c r="V129" s="11"/>
      <c r="W129" s="11"/>
      <c r="X129" s="11"/>
      <c r="Y129" s="11"/>
      <c r="Z129" s="12"/>
      <c r="AA129" s="12"/>
      <c r="AB129" s="12"/>
      <c r="AC129" s="12"/>
      <c r="AD129" s="12"/>
      <c r="AE129" s="12"/>
      <c r="AF129" s="12"/>
    </row>
    <row r="130" ht="46.5" customHeight="1">
      <c r="A130" s="1"/>
      <c r="B130" s="2"/>
      <c r="C130" s="2"/>
      <c r="D130" s="3"/>
      <c r="E130" s="3"/>
      <c r="F130" s="3"/>
      <c r="G130" s="3"/>
      <c r="H130" s="4"/>
      <c r="I130" s="5"/>
      <c r="J130" s="6"/>
      <c r="K130" s="7"/>
      <c r="L130" s="8"/>
      <c r="M130" s="9"/>
      <c r="N130" s="9"/>
      <c r="O130" s="9"/>
      <c r="P130" s="10"/>
      <c r="Q130" s="11"/>
      <c r="R130" s="11"/>
      <c r="S130" s="11"/>
      <c r="T130" s="11"/>
      <c r="U130" s="11"/>
      <c r="V130" s="11"/>
      <c r="W130" s="11"/>
      <c r="X130" s="11"/>
      <c r="Y130" s="11"/>
      <c r="Z130" s="12"/>
      <c r="AA130" s="12"/>
      <c r="AB130" s="12"/>
      <c r="AC130" s="12"/>
      <c r="AD130" s="12"/>
      <c r="AE130" s="12"/>
      <c r="AF130" s="12"/>
    </row>
    <row r="131" ht="46.5" customHeight="1">
      <c r="A131" s="1"/>
      <c r="B131" s="2"/>
      <c r="C131" s="2"/>
      <c r="D131" s="3"/>
      <c r="E131" s="3"/>
      <c r="F131" s="3"/>
      <c r="G131" s="3"/>
      <c r="H131" s="4"/>
      <c r="I131" s="5"/>
      <c r="J131" s="6"/>
      <c r="K131" s="7"/>
      <c r="L131" s="8"/>
      <c r="M131" s="9"/>
      <c r="N131" s="9"/>
      <c r="O131" s="9"/>
      <c r="P131" s="10"/>
      <c r="Q131" s="11"/>
      <c r="R131" s="11"/>
      <c r="S131" s="11"/>
      <c r="T131" s="11"/>
      <c r="U131" s="11"/>
      <c r="V131" s="11"/>
      <c r="W131" s="11"/>
      <c r="X131" s="11"/>
      <c r="Y131" s="11"/>
      <c r="Z131" s="12"/>
      <c r="AA131" s="12"/>
      <c r="AB131" s="12"/>
      <c r="AC131" s="12"/>
      <c r="AD131" s="12"/>
      <c r="AE131" s="12"/>
      <c r="AF131" s="12"/>
    </row>
    <row r="132" ht="46.5" customHeight="1">
      <c r="A132" s="1"/>
      <c r="B132" s="2"/>
      <c r="C132" s="2"/>
      <c r="D132" s="3"/>
      <c r="E132" s="3"/>
      <c r="F132" s="3"/>
      <c r="G132" s="3"/>
      <c r="H132" s="4"/>
      <c r="I132" s="5"/>
      <c r="J132" s="6"/>
      <c r="K132" s="7"/>
      <c r="L132" s="8"/>
      <c r="M132" s="9"/>
      <c r="N132" s="9"/>
      <c r="O132" s="9"/>
      <c r="P132" s="10"/>
      <c r="Q132" s="11"/>
      <c r="R132" s="11"/>
      <c r="S132" s="11"/>
      <c r="T132" s="11"/>
      <c r="U132" s="11"/>
      <c r="V132" s="11"/>
      <c r="W132" s="11"/>
      <c r="X132" s="11"/>
      <c r="Y132" s="11"/>
      <c r="Z132" s="12"/>
      <c r="AA132" s="12"/>
      <c r="AB132" s="12"/>
      <c r="AC132" s="12"/>
      <c r="AD132" s="12"/>
      <c r="AE132" s="12"/>
      <c r="AF132" s="12"/>
    </row>
    <row r="133" ht="46.5" customHeight="1">
      <c r="A133" s="1"/>
      <c r="B133" s="2"/>
      <c r="C133" s="2"/>
      <c r="D133" s="3"/>
      <c r="E133" s="3"/>
      <c r="F133" s="3"/>
      <c r="G133" s="3"/>
      <c r="H133" s="4"/>
      <c r="I133" s="5"/>
      <c r="J133" s="6"/>
      <c r="K133" s="7"/>
      <c r="L133" s="8"/>
      <c r="M133" s="9"/>
      <c r="N133" s="9"/>
      <c r="O133" s="9"/>
      <c r="P133" s="10"/>
      <c r="Q133" s="11"/>
      <c r="R133" s="11"/>
      <c r="S133" s="11"/>
      <c r="T133" s="11"/>
      <c r="U133" s="11"/>
      <c r="V133" s="11"/>
      <c r="W133" s="11"/>
      <c r="X133" s="11"/>
      <c r="Y133" s="11"/>
      <c r="Z133" s="12"/>
      <c r="AA133" s="12"/>
      <c r="AB133" s="12"/>
      <c r="AC133" s="12"/>
      <c r="AD133" s="12"/>
      <c r="AE133" s="12"/>
      <c r="AF133" s="12"/>
    </row>
    <row r="134" ht="46.5" customHeight="1">
      <c r="A134" s="1"/>
      <c r="B134" s="2"/>
      <c r="C134" s="2"/>
      <c r="D134" s="3"/>
      <c r="E134" s="3"/>
      <c r="F134" s="3"/>
      <c r="G134" s="3"/>
      <c r="H134" s="4"/>
      <c r="I134" s="5"/>
      <c r="J134" s="6"/>
      <c r="K134" s="7"/>
      <c r="L134" s="8"/>
      <c r="M134" s="9"/>
      <c r="N134" s="9"/>
      <c r="O134" s="9"/>
      <c r="P134" s="10"/>
      <c r="Q134" s="11"/>
      <c r="R134" s="11"/>
      <c r="S134" s="11"/>
      <c r="T134" s="11"/>
      <c r="U134" s="11"/>
      <c r="V134" s="11"/>
      <c r="W134" s="11"/>
      <c r="X134" s="11"/>
      <c r="Y134" s="11"/>
      <c r="Z134" s="12"/>
      <c r="AA134" s="12"/>
      <c r="AB134" s="12"/>
      <c r="AC134" s="12"/>
      <c r="AD134" s="12"/>
      <c r="AE134" s="12"/>
      <c r="AF134" s="12"/>
    </row>
    <row r="135" ht="46.5" customHeight="1">
      <c r="A135" s="1"/>
      <c r="B135" s="2"/>
      <c r="C135" s="2"/>
      <c r="D135" s="3"/>
      <c r="E135" s="3"/>
      <c r="F135" s="3"/>
      <c r="G135" s="3"/>
      <c r="H135" s="4"/>
      <c r="I135" s="5"/>
      <c r="J135" s="6"/>
      <c r="K135" s="7"/>
      <c r="L135" s="8"/>
      <c r="M135" s="9"/>
      <c r="N135" s="9"/>
      <c r="O135" s="9"/>
      <c r="P135" s="10"/>
      <c r="Q135" s="11"/>
      <c r="R135" s="11"/>
      <c r="S135" s="11"/>
      <c r="T135" s="11"/>
      <c r="U135" s="11"/>
      <c r="V135" s="11"/>
      <c r="W135" s="11"/>
      <c r="X135" s="11"/>
      <c r="Y135" s="11"/>
      <c r="Z135" s="12"/>
      <c r="AA135" s="12"/>
      <c r="AB135" s="12"/>
      <c r="AC135" s="12"/>
      <c r="AD135" s="12"/>
      <c r="AE135" s="12"/>
      <c r="AF135" s="12"/>
    </row>
    <row r="136" ht="46.5" customHeight="1">
      <c r="A136" s="1"/>
      <c r="B136" s="2"/>
      <c r="C136" s="2"/>
      <c r="D136" s="3"/>
      <c r="E136" s="3"/>
      <c r="F136" s="3"/>
      <c r="G136" s="3"/>
      <c r="H136" s="4"/>
      <c r="I136" s="5"/>
      <c r="J136" s="6"/>
      <c r="K136" s="7"/>
      <c r="L136" s="8"/>
      <c r="M136" s="9"/>
      <c r="N136" s="9"/>
      <c r="O136" s="9"/>
      <c r="P136" s="10"/>
      <c r="Q136" s="11"/>
      <c r="R136" s="11"/>
      <c r="S136" s="11"/>
      <c r="T136" s="11"/>
      <c r="U136" s="11"/>
      <c r="V136" s="11"/>
      <c r="W136" s="11"/>
      <c r="X136" s="11"/>
      <c r="Y136" s="11"/>
      <c r="Z136" s="12"/>
      <c r="AA136" s="12"/>
      <c r="AB136" s="12"/>
      <c r="AC136" s="12"/>
      <c r="AD136" s="12"/>
      <c r="AE136" s="12"/>
      <c r="AF136" s="12"/>
    </row>
    <row r="137" ht="46.5" customHeight="1">
      <c r="A137" s="1"/>
      <c r="B137" s="2"/>
      <c r="C137" s="2"/>
      <c r="D137" s="3"/>
      <c r="E137" s="3"/>
      <c r="F137" s="3"/>
      <c r="G137" s="3"/>
      <c r="H137" s="4"/>
      <c r="I137" s="5"/>
      <c r="J137" s="6"/>
      <c r="K137" s="7"/>
      <c r="L137" s="8"/>
      <c r="M137" s="9"/>
      <c r="N137" s="9"/>
      <c r="O137" s="9"/>
      <c r="P137" s="10"/>
      <c r="Q137" s="11"/>
      <c r="R137" s="11"/>
      <c r="S137" s="11"/>
      <c r="T137" s="11"/>
      <c r="U137" s="11"/>
      <c r="V137" s="11"/>
      <c r="W137" s="11"/>
      <c r="X137" s="11"/>
      <c r="Y137" s="11"/>
      <c r="Z137" s="12"/>
      <c r="AA137" s="12"/>
      <c r="AB137" s="12"/>
      <c r="AC137" s="12"/>
      <c r="AD137" s="12"/>
      <c r="AE137" s="12"/>
      <c r="AF137" s="12"/>
    </row>
    <row r="138" ht="46.5" customHeight="1">
      <c r="A138" s="1"/>
      <c r="B138" s="2"/>
      <c r="C138" s="2"/>
      <c r="D138" s="3"/>
      <c r="E138" s="3"/>
      <c r="F138" s="3"/>
      <c r="G138" s="3"/>
      <c r="H138" s="4"/>
      <c r="I138" s="5"/>
      <c r="J138" s="6"/>
      <c r="K138" s="7"/>
      <c r="L138" s="8"/>
      <c r="M138" s="9"/>
      <c r="N138" s="9"/>
      <c r="O138" s="9"/>
      <c r="P138" s="10"/>
      <c r="Q138" s="11"/>
      <c r="R138" s="11"/>
      <c r="S138" s="11"/>
      <c r="T138" s="11"/>
      <c r="U138" s="11"/>
      <c r="V138" s="11"/>
      <c r="W138" s="11"/>
      <c r="X138" s="11"/>
      <c r="Y138" s="11"/>
      <c r="Z138" s="12"/>
      <c r="AA138" s="12"/>
      <c r="AB138" s="12"/>
      <c r="AC138" s="12"/>
      <c r="AD138" s="12"/>
      <c r="AE138" s="12"/>
      <c r="AF138" s="12"/>
    </row>
    <row r="139" ht="46.5" customHeight="1">
      <c r="A139" s="1"/>
      <c r="B139" s="2"/>
      <c r="C139" s="2"/>
      <c r="D139" s="3"/>
      <c r="E139" s="3"/>
      <c r="F139" s="3"/>
      <c r="G139" s="3"/>
      <c r="H139" s="4"/>
      <c r="I139" s="5"/>
      <c r="J139" s="6"/>
      <c r="K139" s="7"/>
      <c r="L139" s="8"/>
      <c r="M139" s="9"/>
      <c r="N139" s="9"/>
      <c r="O139" s="9"/>
      <c r="P139" s="10"/>
      <c r="Q139" s="11"/>
      <c r="R139" s="11"/>
      <c r="S139" s="11"/>
      <c r="T139" s="11"/>
      <c r="U139" s="11"/>
      <c r="V139" s="11"/>
      <c r="W139" s="11"/>
      <c r="X139" s="11"/>
      <c r="Y139" s="11"/>
      <c r="Z139" s="12"/>
      <c r="AA139" s="12"/>
      <c r="AB139" s="12"/>
      <c r="AC139" s="12"/>
      <c r="AD139" s="12"/>
      <c r="AE139" s="12"/>
      <c r="AF139" s="12"/>
    </row>
    <row r="140" ht="46.5" customHeight="1">
      <c r="A140" s="1"/>
      <c r="B140" s="2"/>
      <c r="C140" s="2"/>
      <c r="D140" s="3"/>
      <c r="E140" s="3"/>
      <c r="F140" s="3"/>
      <c r="G140" s="3"/>
      <c r="H140" s="4"/>
      <c r="I140" s="5"/>
      <c r="J140" s="6"/>
      <c r="K140" s="7"/>
      <c r="L140" s="8"/>
      <c r="M140" s="9"/>
      <c r="N140" s="9"/>
      <c r="O140" s="9"/>
      <c r="P140" s="10"/>
      <c r="Q140" s="11"/>
      <c r="R140" s="11"/>
      <c r="S140" s="11"/>
      <c r="T140" s="11"/>
      <c r="U140" s="11"/>
      <c r="V140" s="11"/>
      <c r="W140" s="11"/>
      <c r="X140" s="11"/>
      <c r="Y140" s="11"/>
      <c r="Z140" s="12"/>
      <c r="AA140" s="12"/>
      <c r="AB140" s="12"/>
      <c r="AC140" s="12"/>
      <c r="AD140" s="12"/>
      <c r="AE140" s="12"/>
      <c r="AF140" s="12"/>
    </row>
    <row r="141" ht="46.5" customHeight="1">
      <c r="A141" s="1"/>
      <c r="B141" s="2"/>
      <c r="C141" s="2"/>
      <c r="D141" s="3"/>
      <c r="E141" s="3"/>
      <c r="F141" s="3"/>
      <c r="G141" s="3"/>
      <c r="H141" s="4"/>
      <c r="I141" s="5"/>
      <c r="J141" s="6"/>
      <c r="K141" s="7"/>
      <c r="L141" s="8"/>
      <c r="M141" s="9"/>
      <c r="N141" s="9"/>
      <c r="O141" s="9"/>
      <c r="P141" s="10"/>
      <c r="Q141" s="11"/>
      <c r="R141" s="11"/>
      <c r="S141" s="11"/>
      <c r="T141" s="11"/>
      <c r="U141" s="11"/>
      <c r="V141" s="11"/>
      <c r="W141" s="11"/>
      <c r="X141" s="11"/>
      <c r="Y141" s="11"/>
      <c r="Z141" s="12"/>
      <c r="AA141" s="12"/>
      <c r="AB141" s="12"/>
      <c r="AC141" s="12"/>
      <c r="AD141" s="12"/>
      <c r="AE141" s="12"/>
      <c r="AF141" s="12"/>
    </row>
    <row r="142" ht="46.5" customHeight="1">
      <c r="A142" s="1"/>
      <c r="B142" s="2"/>
      <c r="C142" s="2"/>
      <c r="D142" s="3"/>
      <c r="E142" s="3"/>
      <c r="F142" s="3"/>
      <c r="G142" s="3"/>
      <c r="H142" s="4"/>
      <c r="I142" s="5"/>
      <c r="J142" s="6"/>
      <c r="K142" s="7"/>
      <c r="L142" s="8"/>
      <c r="M142" s="9"/>
      <c r="N142" s="9"/>
      <c r="O142" s="9"/>
      <c r="P142" s="10"/>
      <c r="Q142" s="11"/>
      <c r="R142" s="11"/>
      <c r="S142" s="11"/>
      <c r="T142" s="11"/>
      <c r="U142" s="11"/>
      <c r="V142" s="11"/>
      <c r="W142" s="11"/>
      <c r="X142" s="11"/>
      <c r="Y142" s="11"/>
      <c r="Z142" s="12"/>
      <c r="AA142" s="12"/>
      <c r="AB142" s="12"/>
      <c r="AC142" s="12"/>
      <c r="AD142" s="12"/>
      <c r="AE142" s="12"/>
      <c r="AF142" s="12"/>
    </row>
    <row r="143" ht="46.5" customHeight="1">
      <c r="A143" s="1"/>
      <c r="B143" s="2"/>
      <c r="C143" s="2"/>
      <c r="D143" s="3"/>
      <c r="E143" s="3"/>
      <c r="F143" s="3"/>
      <c r="G143" s="3"/>
      <c r="H143" s="4"/>
      <c r="I143" s="5"/>
      <c r="J143" s="6"/>
      <c r="K143" s="7"/>
      <c r="L143" s="8"/>
      <c r="M143" s="9"/>
      <c r="N143" s="9"/>
      <c r="O143" s="9"/>
      <c r="P143" s="10"/>
      <c r="Q143" s="11"/>
      <c r="R143" s="11"/>
      <c r="S143" s="11"/>
      <c r="T143" s="11"/>
      <c r="U143" s="11"/>
      <c r="V143" s="11"/>
      <c r="W143" s="11"/>
      <c r="X143" s="11"/>
      <c r="Y143" s="11"/>
      <c r="Z143" s="12"/>
      <c r="AA143" s="12"/>
      <c r="AB143" s="12"/>
      <c r="AC143" s="12"/>
      <c r="AD143" s="12"/>
      <c r="AE143" s="12"/>
      <c r="AF143" s="12"/>
    </row>
    <row r="144" ht="46.5" customHeight="1">
      <c r="A144" s="1"/>
      <c r="B144" s="2"/>
      <c r="C144" s="2"/>
      <c r="D144" s="3"/>
      <c r="E144" s="3"/>
      <c r="F144" s="3"/>
      <c r="G144" s="3"/>
      <c r="H144" s="4"/>
      <c r="I144" s="5"/>
      <c r="J144" s="6"/>
      <c r="K144" s="7"/>
      <c r="L144" s="8"/>
      <c r="M144" s="9"/>
      <c r="N144" s="9"/>
      <c r="O144" s="9"/>
      <c r="P144" s="10"/>
      <c r="Q144" s="11"/>
      <c r="R144" s="11"/>
      <c r="S144" s="11"/>
      <c r="T144" s="11"/>
      <c r="U144" s="11"/>
      <c r="V144" s="11"/>
      <c r="W144" s="11"/>
      <c r="X144" s="11"/>
      <c r="Y144" s="11"/>
      <c r="Z144" s="12"/>
      <c r="AA144" s="12"/>
      <c r="AB144" s="12"/>
      <c r="AC144" s="12"/>
      <c r="AD144" s="12"/>
      <c r="AE144" s="12"/>
      <c r="AF144" s="12"/>
    </row>
    <row r="145" ht="46.5" customHeight="1">
      <c r="A145" s="1"/>
      <c r="B145" s="2"/>
      <c r="C145" s="2"/>
      <c r="D145" s="3"/>
      <c r="E145" s="3"/>
      <c r="F145" s="3"/>
      <c r="G145" s="3"/>
      <c r="H145" s="4"/>
      <c r="I145" s="5"/>
      <c r="J145" s="6"/>
      <c r="K145" s="7"/>
      <c r="L145" s="8"/>
      <c r="M145" s="9"/>
      <c r="N145" s="9"/>
      <c r="O145" s="9"/>
      <c r="P145" s="10"/>
      <c r="Q145" s="11"/>
      <c r="R145" s="11"/>
      <c r="S145" s="11"/>
      <c r="T145" s="11"/>
      <c r="U145" s="11"/>
      <c r="V145" s="11"/>
      <c r="W145" s="11"/>
      <c r="X145" s="11"/>
      <c r="Y145" s="11"/>
      <c r="Z145" s="12"/>
      <c r="AA145" s="12"/>
      <c r="AB145" s="12"/>
      <c r="AC145" s="12"/>
      <c r="AD145" s="12"/>
      <c r="AE145" s="12"/>
      <c r="AF145" s="12"/>
    </row>
    <row r="146" ht="46.5" customHeight="1">
      <c r="A146" s="1"/>
      <c r="B146" s="2"/>
      <c r="C146" s="2"/>
      <c r="D146" s="3"/>
      <c r="E146" s="3"/>
      <c r="F146" s="3"/>
      <c r="G146" s="3"/>
      <c r="H146" s="4"/>
      <c r="I146" s="5"/>
      <c r="J146" s="6"/>
      <c r="K146" s="7"/>
      <c r="L146" s="8"/>
      <c r="M146" s="9"/>
      <c r="N146" s="9"/>
      <c r="O146" s="9"/>
      <c r="P146" s="10"/>
      <c r="Q146" s="11"/>
      <c r="R146" s="11"/>
      <c r="S146" s="11"/>
      <c r="T146" s="11"/>
      <c r="U146" s="11"/>
      <c r="V146" s="11"/>
      <c r="W146" s="11"/>
      <c r="X146" s="11"/>
      <c r="Y146" s="11"/>
      <c r="Z146" s="12"/>
      <c r="AA146" s="12"/>
      <c r="AB146" s="12"/>
      <c r="AC146" s="12"/>
      <c r="AD146" s="12"/>
      <c r="AE146" s="12"/>
      <c r="AF146" s="12"/>
    </row>
    <row r="147" ht="46.5" customHeight="1">
      <c r="A147" s="1"/>
      <c r="B147" s="2"/>
      <c r="C147" s="2"/>
      <c r="D147" s="3"/>
      <c r="E147" s="3"/>
      <c r="F147" s="3"/>
      <c r="G147" s="3"/>
      <c r="H147" s="4"/>
      <c r="I147" s="5"/>
      <c r="J147" s="6"/>
      <c r="K147" s="7"/>
      <c r="L147" s="8"/>
      <c r="M147" s="9"/>
      <c r="N147" s="9"/>
      <c r="O147" s="9"/>
      <c r="P147" s="10"/>
      <c r="Q147" s="11"/>
      <c r="R147" s="11"/>
      <c r="S147" s="11"/>
      <c r="T147" s="11"/>
      <c r="U147" s="11"/>
      <c r="V147" s="11"/>
      <c r="W147" s="11"/>
      <c r="X147" s="11"/>
      <c r="Y147" s="11"/>
      <c r="Z147" s="12"/>
      <c r="AA147" s="12"/>
      <c r="AB147" s="12"/>
      <c r="AC147" s="12"/>
      <c r="AD147" s="12"/>
      <c r="AE147" s="12"/>
      <c r="AF147" s="12"/>
    </row>
    <row r="148" ht="46.5" customHeight="1">
      <c r="A148" s="1"/>
      <c r="B148" s="2"/>
      <c r="C148" s="2"/>
      <c r="D148" s="3"/>
      <c r="E148" s="3"/>
      <c r="F148" s="3"/>
      <c r="G148" s="3"/>
      <c r="H148" s="4"/>
      <c r="I148" s="5"/>
      <c r="J148" s="6"/>
      <c r="K148" s="7"/>
      <c r="L148" s="8"/>
      <c r="M148" s="9"/>
      <c r="N148" s="9"/>
      <c r="O148" s="9"/>
      <c r="P148" s="10"/>
      <c r="Q148" s="11"/>
      <c r="R148" s="11"/>
      <c r="S148" s="11"/>
      <c r="T148" s="11"/>
      <c r="U148" s="11"/>
      <c r="V148" s="11"/>
      <c r="W148" s="11"/>
      <c r="X148" s="11"/>
      <c r="Y148" s="11"/>
      <c r="Z148" s="12"/>
      <c r="AA148" s="12"/>
      <c r="AB148" s="12"/>
      <c r="AC148" s="12"/>
      <c r="AD148" s="12"/>
      <c r="AE148" s="12"/>
      <c r="AF148" s="12"/>
    </row>
    <row r="149" ht="46.5" customHeight="1">
      <c r="A149" s="1"/>
      <c r="B149" s="2"/>
      <c r="C149" s="2"/>
      <c r="D149" s="3"/>
      <c r="E149" s="3"/>
      <c r="F149" s="3"/>
      <c r="G149" s="3"/>
      <c r="H149" s="4"/>
      <c r="I149" s="5"/>
      <c r="J149" s="6"/>
      <c r="K149" s="7"/>
      <c r="L149" s="8"/>
      <c r="M149" s="9"/>
      <c r="N149" s="9"/>
      <c r="O149" s="9"/>
      <c r="P149" s="10"/>
      <c r="Q149" s="11"/>
      <c r="R149" s="11"/>
      <c r="S149" s="11"/>
      <c r="T149" s="11"/>
      <c r="U149" s="11"/>
      <c r="V149" s="11"/>
      <c r="W149" s="11"/>
      <c r="X149" s="11"/>
      <c r="Y149" s="11"/>
      <c r="Z149" s="12"/>
      <c r="AA149" s="12"/>
      <c r="AB149" s="12"/>
      <c r="AC149" s="12"/>
      <c r="AD149" s="12"/>
      <c r="AE149" s="12"/>
      <c r="AF149" s="12"/>
    </row>
    <row r="150" ht="46.5" customHeight="1">
      <c r="A150" s="1"/>
      <c r="B150" s="2"/>
      <c r="C150" s="2"/>
      <c r="D150" s="3"/>
      <c r="E150" s="3"/>
      <c r="F150" s="3"/>
      <c r="G150" s="3"/>
      <c r="H150" s="4"/>
      <c r="I150" s="5"/>
      <c r="J150" s="6"/>
      <c r="K150" s="7"/>
      <c r="L150" s="8"/>
      <c r="M150" s="9"/>
      <c r="N150" s="9"/>
      <c r="O150" s="9"/>
      <c r="P150" s="10"/>
      <c r="Q150" s="11"/>
      <c r="R150" s="11"/>
      <c r="S150" s="11"/>
      <c r="T150" s="11"/>
      <c r="U150" s="11"/>
      <c r="V150" s="11"/>
      <c r="W150" s="11"/>
      <c r="X150" s="11"/>
      <c r="Y150" s="11"/>
      <c r="Z150" s="12"/>
      <c r="AA150" s="12"/>
      <c r="AB150" s="12"/>
      <c r="AC150" s="12"/>
      <c r="AD150" s="12"/>
      <c r="AE150" s="12"/>
      <c r="AF150" s="12"/>
    </row>
    <row r="151" ht="46.5" customHeight="1">
      <c r="A151" s="1"/>
      <c r="B151" s="2"/>
      <c r="C151" s="2"/>
      <c r="D151" s="3"/>
      <c r="E151" s="3"/>
      <c r="F151" s="3"/>
      <c r="G151" s="3"/>
      <c r="H151" s="4"/>
      <c r="I151" s="5"/>
      <c r="J151" s="6"/>
      <c r="K151" s="7"/>
      <c r="L151" s="8"/>
      <c r="M151" s="9"/>
      <c r="N151" s="9"/>
      <c r="O151" s="9"/>
      <c r="P151" s="10"/>
      <c r="Q151" s="11"/>
      <c r="R151" s="11"/>
      <c r="S151" s="11"/>
      <c r="T151" s="11"/>
      <c r="U151" s="11"/>
      <c r="V151" s="11"/>
      <c r="W151" s="11"/>
      <c r="X151" s="11"/>
      <c r="Y151" s="11"/>
      <c r="Z151" s="12"/>
      <c r="AA151" s="12"/>
      <c r="AB151" s="12"/>
      <c r="AC151" s="12"/>
      <c r="AD151" s="12"/>
      <c r="AE151" s="12"/>
      <c r="AF151" s="12"/>
    </row>
    <row r="152" ht="46.5" customHeight="1">
      <c r="A152" s="1"/>
      <c r="B152" s="2"/>
      <c r="C152" s="2"/>
      <c r="D152" s="3"/>
      <c r="E152" s="3"/>
      <c r="F152" s="3"/>
      <c r="G152" s="3"/>
      <c r="H152" s="4"/>
      <c r="I152" s="5"/>
      <c r="J152" s="6"/>
      <c r="K152" s="7"/>
      <c r="L152" s="8"/>
      <c r="M152" s="9"/>
      <c r="N152" s="9"/>
      <c r="O152" s="9"/>
      <c r="P152" s="10"/>
      <c r="Q152" s="11"/>
      <c r="R152" s="11"/>
      <c r="S152" s="11"/>
      <c r="T152" s="11"/>
      <c r="U152" s="11"/>
      <c r="V152" s="11"/>
      <c r="W152" s="11"/>
      <c r="X152" s="11"/>
      <c r="Y152" s="11"/>
      <c r="Z152" s="12"/>
      <c r="AA152" s="12"/>
      <c r="AB152" s="12"/>
      <c r="AC152" s="12"/>
      <c r="AD152" s="12"/>
      <c r="AE152" s="12"/>
      <c r="AF152" s="12"/>
    </row>
    <row r="153" ht="46.5" customHeight="1">
      <c r="A153" s="1"/>
      <c r="B153" s="2"/>
      <c r="C153" s="2"/>
      <c r="D153" s="3"/>
      <c r="E153" s="3"/>
      <c r="F153" s="3"/>
      <c r="G153" s="3"/>
      <c r="H153" s="4"/>
      <c r="I153" s="5"/>
      <c r="J153" s="6"/>
      <c r="K153" s="7"/>
      <c r="L153" s="8"/>
      <c r="M153" s="9"/>
      <c r="N153" s="9"/>
      <c r="O153" s="9"/>
      <c r="P153" s="10"/>
      <c r="Q153" s="11"/>
      <c r="R153" s="11"/>
      <c r="S153" s="11"/>
      <c r="T153" s="11"/>
      <c r="U153" s="11"/>
      <c r="V153" s="11"/>
      <c r="W153" s="11"/>
      <c r="X153" s="11"/>
      <c r="Y153" s="11"/>
      <c r="Z153" s="12"/>
      <c r="AA153" s="12"/>
      <c r="AB153" s="12"/>
      <c r="AC153" s="12"/>
      <c r="AD153" s="12"/>
      <c r="AE153" s="12"/>
      <c r="AF153" s="12"/>
    </row>
    <row r="154" ht="46.5" customHeight="1">
      <c r="A154" s="1"/>
      <c r="B154" s="2"/>
      <c r="C154" s="2"/>
      <c r="D154" s="3"/>
      <c r="E154" s="3"/>
      <c r="F154" s="3"/>
      <c r="G154" s="3"/>
      <c r="H154" s="4"/>
      <c r="I154" s="5"/>
      <c r="J154" s="6"/>
      <c r="K154" s="7"/>
      <c r="L154" s="8"/>
      <c r="M154" s="9"/>
      <c r="N154" s="9"/>
      <c r="O154" s="9"/>
      <c r="P154" s="10"/>
      <c r="Q154" s="11"/>
      <c r="R154" s="11"/>
      <c r="S154" s="11"/>
      <c r="T154" s="11"/>
      <c r="U154" s="11"/>
      <c r="V154" s="11"/>
      <c r="W154" s="11"/>
      <c r="X154" s="11"/>
      <c r="Y154" s="11"/>
      <c r="Z154" s="12"/>
      <c r="AA154" s="12"/>
      <c r="AB154" s="12"/>
      <c r="AC154" s="12"/>
      <c r="AD154" s="12"/>
      <c r="AE154" s="12"/>
      <c r="AF154" s="12"/>
    </row>
    <row r="155" ht="46.5" customHeight="1">
      <c r="A155" s="1"/>
      <c r="B155" s="2"/>
      <c r="C155" s="2"/>
      <c r="D155" s="3"/>
      <c r="E155" s="3"/>
      <c r="F155" s="3"/>
      <c r="G155" s="3"/>
      <c r="H155" s="4"/>
      <c r="I155" s="5"/>
      <c r="J155" s="6"/>
      <c r="K155" s="7"/>
      <c r="L155" s="8"/>
      <c r="M155" s="9"/>
      <c r="N155" s="9"/>
      <c r="O155" s="9"/>
      <c r="P155" s="10"/>
      <c r="Q155" s="11"/>
      <c r="R155" s="11"/>
      <c r="S155" s="11"/>
      <c r="T155" s="11"/>
      <c r="U155" s="11"/>
      <c r="V155" s="11"/>
      <c r="W155" s="11"/>
      <c r="X155" s="11"/>
      <c r="Y155" s="11"/>
      <c r="Z155" s="12"/>
      <c r="AA155" s="12"/>
      <c r="AB155" s="12"/>
      <c r="AC155" s="12"/>
      <c r="AD155" s="12"/>
      <c r="AE155" s="12"/>
      <c r="AF155" s="12"/>
    </row>
    <row r="156" ht="46.5" customHeight="1">
      <c r="A156" s="1"/>
      <c r="B156" s="2"/>
      <c r="C156" s="2"/>
      <c r="D156" s="3"/>
      <c r="E156" s="3"/>
      <c r="F156" s="3"/>
      <c r="G156" s="3"/>
      <c r="H156" s="4"/>
      <c r="I156" s="5"/>
      <c r="J156" s="6"/>
      <c r="K156" s="7"/>
      <c r="L156" s="8"/>
      <c r="M156" s="9"/>
      <c r="N156" s="9"/>
      <c r="O156" s="9"/>
      <c r="P156" s="10"/>
      <c r="Q156" s="11"/>
      <c r="R156" s="11"/>
      <c r="S156" s="11"/>
      <c r="T156" s="11"/>
      <c r="U156" s="11"/>
      <c r="V156" s="11"/>
      <c r="W156" s="11"/>
      <c r="X156" s="11"/>
      <c r="Y156" s="11"/>
      <c r="Z156" s="12"/>
      <c r="AA156" s="12"/>
      <c r="AB156" s="12"/>
      <c r="AC156" s="12"/>
      <c r="AD156" s="12"/>
      <c r="AE156" s="12"/>
      <c r="AF156" s="12"/>
    </row>
    <row r="157" ht="46.5" customHeight="1">
      <c r="A157" s="1"/>
      <c r="B157" s="2"/>
      <c r="C157" s="2"/>
      <c r="D157" s="3"/>
      <c r="E157" s="3"/>
      <c r="F157" s="3"/>
      <c r="G157" s="3"/>
      <c r="H157" s="4"/>
      <c r="I157" s="5"/>
      <c r="J157" s="6"/>
      <c r="K157" s="7"/>
      <c r="L157" s="8"/>
      <c r="M157" s="9"/>
      <c r="N157" s="9"/>
      <c r="O157" s="9"/>
      <c r="P157" s="10"/>
      <c r="Q157" s="11"/>
      <c r="R157" s="11"/>
      <c r="S157" s="11"/>
      <c r="T157" s="11"/>
      <c r="U157" s="11"/>
      <c r="V157" s="11"/>
      <c r="W157" s="11"/>
      <c r="X157" s="11"/>
      <c r="Y157" s="11"/>
      <c r="Z157" s="12"/>
      <c r="AA157" s="12"/>
      <c r="AB157" s="12"/>
      <c r="AC157" s="12"/>
      <c r="AD157" s="12"/>
      <c r="AE157" s="12"/>
      <c r="AF157" s="12"/>
    </row>
    <row r="158" ht="46.5" customHeight="1">
      <c r="A158" s="1"/>
      <c r="B158" s="2"/>
      <c r="C158" s="2"/>
      <c r="D158" s="3"/>
      <c r="E158" s="3"/>
      <c r="F158" s="3"/>
      <c r="G158" s="3"/>
      <c r="H158" s="4"/>
      <c r="I158" s="5"/>
      <c r="J158" s="6"/>
      <c r="K158" s="7"/>
      <c r="L158" s="8"/>
      <c r="M158" s="9"/>
      <c r="N158" s="9"/>
      <c r="O158" s="9"/>
      <c r="P158" s="10"/>
      <c r="Q158" s="11"/>
      <c r="R158" s="11"/>
      <c r="S158" s="11"/>
      <c r="T158" s="11"/>
      <c r="U158" s="11"/>
      <c r="V158" s="11"/>
      <c r="W158" s="11"/>
      <c r="X158" s="11"/>
      <c r="Y158" s="11"/>
      <c r="Z158" s="12"/>
      <c r="AA158" s="12"/>
      <c r="AB158" s="12"/>
      <c r="AC158" s="12"/>
      <c r="AD158" s="12"/>
      <c r="AE158" s="12"/>
      <c r="AF158" s="12"/>
    </row>
    <row r="159" ht="46.5" customHeight="1">
      <c r="A159" s="1"/>
      <c r="B159" s="2"/>
      <c r="C159" s="2"/>
      <c r="D159" s="3"/>
      <c r="E159" s="3"/>
      <c r="F159" s="3"/>
      <c r="G159" s="3"/>
      <c r="H159" s="4"/>
      <c r="I159" s="5"/>
      <c r="J159" s="6"/>
      <c r="K159" s="7"/>
      <c r="L159" s="8"/>
      <c r="M159" s="9"/>
      <c r="N159" s="9"/>
      <c r="O159" s="9"/>
      <c r="P159" s="10"/>
      <c r="Q159" s="11"/>
      <c r="R159" s="11"/>
      <c r="S159" s="11"/>
      <c r="T159" s="11"/>
      <c r="U159" s="11"/>
      <c r="V159" s="11"/>
      <c r="W159" s="11"/>
      <c r="X159" s="11"/>
      <c r="Y159" s="11"/>
      <c r="Z159" s="12"/>
      <c r="AA159" s="12"/>
      <c r="AB159" s="12"/>
      <c r="AC159" s="12"/>
      <c r="AD159" s="12"/>
      <c r="AE159" s="12"/>
      <c r="AF159" s="12"/>
    </row>
    <row r="160" ht="46.5" customHeight="1">
      <c r="A160" s="1"/>
      <c r="B160" s="2"/>
      <c r="C160" s="2"/>
      <c r="D160" s="3"/>
      <c r="E160" s="3"/>
      <c r="F160" s="3"/>
      <c r="G160" s="3"/>
      <c r="H160" s="4"/>
      <c r="I160" s="5"/>
      <c r="J160" s="6"/>
      <c r="K160" s="7"/>
      <c r="L160" s="8"/>
      <c r="M160" s="9"/>
      <c r="N160" s="9"/>
      <c r="O160" s="9"/>
      <c r="P160" s="10"/>
      <c r="Q160" s="11"/>
      <c r="R160" s="11"/>
      <c r="S160" s="11"/>
      <c r="T160" s="11"/>
      <c r="U160" s="11"/>
      <c r="V160" s="11"/>
      <c r="W160" s="11"/>
      <c r="X160" s="11"/>
      <c r="Y160" s="11"/>
      <c r="Z160" s="12"/>
      <c r="AA160" s="12"/>
      <c r="AB160" s="12"/>
      <c r="AC160" s="12"/>
      <c r="AD160" s="12"/>
      <c r="AE160" s="12"/>
      <c r="AF160" s="12"/>
    </row>
    <row r="161" ht="46.5" customHeight="1">
      <c r="A161" s="1"/>
      <c r="B161" s="2"/>
      <c r="C161" s="2"/>
      <c r="D161" s="3"/>
      <c r="E161" s="3"/>
      <c r="F161" s="3"/>
      <c r="G161" s="3"/>
      <c r="H161" s="4"/>
      <c r="I161" s="5"/>
      <c r="J161" s="6"/>
      <c r="K161" s="7"/>
      <c r="L161" s="8"/>
      <c r="M161" s="9"/>
      <c r="N161" s="9"/>
      <c r="O161" s="9"/>
      <c r="P161" s="10"/>
      <c r="Q161" s="11"/>
      <c r="R161" s="11"/>
      <c r="S161" s="11"/>
      <c r="T161" s="11"/>
      <c r="U161" s="11"/>
      <c r="V161" s="11"/>
      <c r="W161" s="11"/>
      <c r="X161" s="11"/>
      <c r="Y161" s="11"/>
      <c r="Z161" s="12"/>
      <c r="AA161" s="12"/>
      <c r="AB161" s="12"/>
      <c r="AC161" s="12"/>
      <c r="AD161" s="12"/>
      <c r="AE161" s="12"/>
      <c r="AF161" s="12"/>
    </row>
    <row r="162" ht="46.5" customHeight="1">
      <c r="A162" s="1"/>
      <c r="B162" s="2"/>
      <c r="C162" s="2"/>
      <c r="D162" s="3"/>
      <c r="E162" s="3"/>
      <c r="F162" s="3"/>
      <c r="G162" s="3"/>
      <c r="H162" s="4"/>
      <c r="I162" s="5"/>
      <c r="J162" s="6"/>
      <c r="K162" s="7"/>
      <c r="L162" s="8"/>
      <c r="M162" s="9"/>
      <c r="N162" s="9"/>
      <c r="O162" s="9"/>
      <c r="P162" s="10"/>
      <c r="Q162" s="11"/>
      <c r="R162" s="11"/>
      <c r="S162" s="11"/>
      <c r="T162" s="11"/>
      <c r="U162" s="11"/>
      <c r="V162" s="11"/>
      <c r="W162" s="11"/>
      <c r="X162" s="11"/>
      <c r="Y162" s="11"/>
      <c r="Z162" s="12"/>
      <c r="AA162" s="12"/>
      <c r="AB162" s="12"/>
      <c r="AC162" s="12"/>
      <c r="AD162" s="12"/>
      <c r="AE162" s="12"/>
      <c r="AF162" s="12"/>
    </row>
    <row r="163" ht="46.5" customHeight="1">
      <c r="A163" s="1"/>
      <c r="B163" s="2"/>
      <c r="C163" s="2"/>
      <c r="D163" s="3"/>
      <c r="E163" s="3"/>
      <c r="F163" s="3"/>
      <c r="G163" s="3"/>
      <c r="H163" s="4"/>
      <c r="I163" s="5"/>
      <c r="J163" s="6"/>
      <c r="K163" s="7"/>
      <c r="L163" s="8"/>
      <c r="M163" s="9"/>
      <c r="N163" s="9"/>
      <c r="O163" s="9"/>
      <c r="P163" s="10"/>
      <c r="Q163" s="11"/>
      <c r="R163" s="11"/>
      <c r="S163" s="11"/>
      <c r="T163" s="11"/>
      <c r="U163" s="11"/>
      <c r="V163" s="11"/>
      <c r="W163" s="11"/>
      <c r="X163" s="11"/>
      <c r="Y163" s="11"/>
      <c r="Z163" s="12"/>
      <c r="AA163" s="12"/>
      <c r="AB163" s="12"/>
      <c r="AC163" s="12"/>
      <c r="AD163" s="12"/>
      <c r="AE163" s="12"/>
      <c r="AF163" s="12"/>
    </row>
    <row r="164" ht="46.5" customHeight="1">
      <c r="A164" s="1"/>
      <c r="B164" s="2"/>
      <c r="C164" s="2"/>
      <c r="D164" s="3"/>
      <c r="E164" s="3"/>
      <c r="F164" s="3"/>
      <c r="G164" s="3"/>
      <c r="H164" s="4"/>
      <c r="I164" s="5"/>
      <c r="J164" s="6"/>
      <c r="K164" s="7"/>
      <c r="L164" s="8"/>
      <c r="M164" s="9"/>
      <c r="N164" s="9"/>
      <c r="O164" s="9"/>
      <c r="P164" s="10"/>
      <c r="Q164" s="11"/>
      <c r="R164" s="11"/>
      <c r="S164" s="11"/>
      <c r="T164" s="11"/>
      <c r="U164" s="11"/>
      <c r="V164" s="11"/>
      <c r="W164" s="11"/>
      <c r="X164" s="11"/>
      <c r="Y164" s="11"/>
      <c r="Z164" s="12"/>
      <c r="AA164" s="12"/>
      <c r="AB164" s="12"/>
      <c r="AC164" s="12"/>
      <c r="AD164" s="12"/>
      <c r="AE164" s="12"/>
      <c r="AF164" s="12"/>
    </row>
    <row r="165" ht="46.5" customHeight="1">
      <c r="A165" s="1"/>
      <c r="B165" s="2"/>
      <c r="C165" s="2"/>
      <c r="D165" s="3"/>
      <c r="E165" s="3"/>
      <c r="F165" s="3"/>
      <c r="G165" s="3"/>
      <c r="H165" s="4"/>
      <c r="I165" s="5"/>
      <c r="J165" s="6"/>
      <c r="K165" s="7"/>
      <c r="L165" s="8"/>
      <c r="M165" s="9"/>
      <c r="N165" s="9"/>
      <c r="O165" s="9"/>
      <c r="P165" s="10"/>
      <c r="Q165" s="11"/>
      <c r="R165" s="11"/>
      <c r="S165" s="11"/>
      <c r="T165" s="11"/>
      <c r="U165" s="11"/>
      <c r="V165" s="11"/>
      <c r="W165" s="11"/>
      <c r="X165" s="11"/>
      <c r="Y165" s="11"/>
      <c r="Z165" s="12"/>
      <c r="AA165" s="12"/>
      <c r="AB165" s="12"/>
      <c r="AC165" s="12"/>
      <c r="AD165" s="12"/>
      <c r="AE165" s="12"/>
      <c r="AF165" s="12"/>
    </row>
    <row r="166" ht="46.5" customHeight="1">
      <c r="A166" s="1"/>
      <c r="B166" s="2"/>
      <c r="C166" s="2"/>
      <c r="D166" s="3"/>
      <c r="E166" s="3"/>
      <c r="F166" s="3"/>
      <c r="G166" s="3"/>
      <c r="H166" s="4"/>
      <c r="I166" s="5"/>
      <c r="J166" s="6"/>
      <c r="K166" s="7"/>
      <c r="L166" s="8"/>
      <c r="M166" s="9"/>
      <c r="N166" s="9"/>
      <c r="O166" s="9"/>
      <c r="P166" s="10"/>
      <c r="Q166" s="11"/>
      <c r="R166" s="11"/>
      <c r="S166" s="11"/>
      <c r="T166" s="11"/>
      <c r="U166" s="11"/>
      <c r="V166" s="11"/>
      <c r="W166" s="11"/>
      <c r="X166" s="11"/>
      <c r="Y166" s="11"/>
      <c r="Z166" s="12"/>
      <c r="AA166" s="12"/>
      <c r="AB166" s="12"/>
      <c r="AC166" s="12"/>
      <c r="AD166" s="12"/>
      <c r="AE166" s="12"/>
      <c r="AF166" s="12"/>
    </row>
    <row r="167" ht="46.5" customHeight="1">
      <c r="A167" s="1"/>
      <c r="B167" s="2"/>
      <c r="C167" s="2"/>
      <c r="D167" s="3"/>
      <c r="E167" s="3"/>
      <c r="F167" s="3"/>
      <c r="G167" s="3"/>
      <c r="H167" s="4"/>
      <c r="I167" s="5"/>
      <c r="J167" s="6"/>
      <c r="K167" s="7"/>
      <c r="L167" s="8"/>
      <c r="M167" s="9"/>
      <c r="N167" s="9"/>
      <c r="O167" s="9"/>
      <c r="P167" s="10"/>
      <c r="Q167" s="11"/>
      <c r="R167" s="11"/>
      <c r="S167" s="11"/>
      <c r="T167" s="11"/>
      <c r="U167" s="11"/>
      <c r="V167" s="11"/>
      <c r="W167" s="11"/>
      <c r="X167" s="11"/>
      <c r="Y167" s="11"/>
      <c r="Z167" s="12"/>
      <c r="AA167" s="12"/>
      <c r="AB167" s="12"/>
      <c r="AC167" s="12"/>
      <c r="AD167" s="12"/>
      <c r="AE167" s="12"/>
      <c r="AF167" s="12"/>
    </row>
    <row r="168" ht="46.5" customHeight="1">
      <c r="A168" s="1"/>
      <c r="B168" s="2"/>
      <c r="C168" s="2"/>
      <c r="D168" s="3"/>
      <c r="E168" s="3"/>
      <c r="F168" s="3"/>
      <c r="G168" s="3"/>
      <c r="H168" s="4"/>
      <c r="I168" s="5"/>
      <c r="J168" s="6"/>
      <c r="K168" s="7"/>
      <c r="L168" s="8"/>
      <c r="M168" s="9"/>
      <c r="N168" s="9"/>
      <c r="O168" s="9"/>
      <c r="P168" s="10"/>
      <c r="Q168" s="11"/>
      <c r="R168" s="11"/>
      <c r="S168" s="11"/>
      <c r="T168" s="11"/>
      <c r="U168" s="11"/>
      <c r="V168" s="11"/>
      <c r="W168" s="11"/>
      <c r="X168" s="11"/>
      <c r="Y168" s="11"/>
      <c r="Z168" s="12"/>
      <c r="AA168" s="12"/>
      <c r="AB168" s="12"/>
      <c r="AC168" s="12"/>
      <c r="AD168" s="12"/>
      <c r="AE168" s="12"/>
      <c r="AF168" s="12"/>
    </row>
    <row r="169" ht="46.5" customHeight="1">
      <c r="A169" s="1"/>
      <c r="B169" s="2"/>
      <c r="C169" s="2"/>
      <c r="D169" s="3"/>
      <c r="E169" s="3"/>
      <c r="F169" s="3"/>
      <c r="G169" s="3"/>
      <c r="H169" s="4"/>
      <c r="I169" s="5"/>
      <c r="J169" s="6"/>
      <c r="K169" s="7"/>
      <c r="L169" s="8"/>
      <c r="M169" s="9"/>
      <c r="N169" s="9"/>
      <c r="O169" s="9"/>
      <c r="P169" s="10"/>
      <c r="Q169" s="11"/>
      <c r="R169" s="11"/>
      <c r="S169" s="11"/>
      <c r="T169" s="11"/>
      <c r="U169" s="11"/>
      <c r="V169" s="11"/>
      <c r="W169" s="11"/>
      <c r="X169" s="11"/>
      <c r="Y169" s="11"/>
      <c r="Z169" s="12"/>
      <c r="AA169" s="12"/>
      <c r="AB169" s="12"/>
      <c r="AC169" s="12"/>
      <c r="AD169" s="12"/>
      <c r="AE169" s="12"/>
      <c r="AF169" s="12"/>
    </row>
    <row r="170" ht="46.5" customHeight="1">
      <c r="A170" s="1"/>
      <c r="B170" s="2"/>
      <c r="C170" s="2"/>
      <c r="D170" s="3"/>
      <c r="E170" s="3"/>
      <c r="F170" s="3"/>
      <c r="G170" s="3"/>
      <c r="H170" s="4"/>
      <c r="I170" s="5"/>
      <c r="J170" s="6"/>
      <c r="K170" s="7"/>
      <c r="L170" s="8"/>
      <c r="M170" s="9"/>
      <c r="N170" s="9"/>
      <c r="O170" s="9"/>
      <c r="P170" s="10"/>
      <c r="Q170" s="11"/>
      <c r="R170" s="11"/>
      <c r="S170" s="11"/>
      <c r="T170" s="11"/>
      <c r="U170" s="11"/>
      <c r="V170" s="11"/>
      <c r="W170" s="11"/>
      <c r="X170" s="11"/>
      <c r="Y170" s="11"/>
      <c r="Z170" s="12"/>
      <c r="AA170" s="12"/>
      <c r="AB170" s="12"/>
      <c r="AC170" s="12"/>
      <c r="AD170" s="12"/>
      <c r="AE170" s="12"/>
      <c r="AF170" s="12"/>
    </row>
    <row r="171" ht="46.5" customHeight="1">
      <c r="A171" s="1"/>
      <c r="B171" s="2"/>
      <c r="C171" s="2"/>
      <c r="D171" s="3"/>
      <c r="E171" s="3"/>
      <c r="F171" s="3"/>
      <c r="G171" s="3"/>
      <c r="H171" s="4"/>
      <c r="I171" s="5"/>
      <c r="J171" s="6"/>
      <c r="K171" s="7"/>
      <c r="L171" s="8"/>
      <c r="M171" s="9"/>
      <c r="N171" s="9"/>
      <c r="O171" s="9"/>
      <c r="P171" s="10"/>
      <c r="Q171" s="11"/>
      <c r="R171" s="11"/>
      <c r="S171" s="11"/>
      <c r="T171" s="11"/>
      <c r="U171" s="11"/>
      <c r="V171" s="11"/>
      <c r="W171" s="11"/>
      <c r="X171" s="11"/>
      <c r="Y171" s="11"/>
      <c r="Z171" s="12"/>
      <c r="AA171" s="12"/>
      <c r="AB171" s="12"/>
      <c r="AC171" s="12"/>
      <c r="AD171" s="12"/>
      <c r="AE171" s="12"/>
      <c r="AF171" s="12"/>
    </row>
    <row r="172" ht="46.5" customHeight="1">
      <c r="A172" s="1"/>
      <c r="B172" s="2"/>
      <c r="C172" s="2"/>
      <c r="D172" s="3"/>
      <c r="E172" s="3"/>
      <c r="F172" s="3"/>
      <c r="G172" s="3"/>
      <c r="H172" s="4"/>
      <c r="I172" s="5"/>
      <c r="J172" s="6"/>
      <c r="K172" s="7"/>
      <c r="L172" s="8"/>
      <c r="M172" s="9"/>
      <c r="N172" s="9"/>
      <c r="O172" s="9"/>
      <c r="P172" s="10"/>
      <c r="Q172" s="11"/>
      <c r="R172" s="11"/>
      <c r="S172" s="11"/>
      <c r="T172" s="11"/>
      <c r="U172" s="11"/>
      <c r="V172" s="11"/>
      <c r="W172" s="11"/>
      <c r="X172" s="11"/>
      <c r="Y172" s="11"/>
      <c r="Z172" s="12"/>
      <c r="AA172" s="12"/>
      <c r="AB172" s="12"/>
      <c r="AC172" s="12"/>
      <c r="AD172" s="12"/>
      <c r="AE172" s="12"/>
      <c r="AF172" s="12"/>
    </row>
    <row r="173" ht="46.5" customHeight="1">
      <c r="A173" s="1"/>
      <c r="B173" s="2"/>
      <c r="C173" s="2"/>
      <c r="D173" s="3"/>
      <c r="E173" s="3"/>
      <c r="F173" s="3"/>
      <c r="G173" s="3"/>
      <c r="H173" s="4"/>
      <c r="I173" s="5"/>
      <c r="J173" s="6"/>
      <c r="K173" s="7"/>
      <c r="L173" s="8"/>
      <c r="M173" s="9"/>
      <c r="N173" s="9"/>
      <c r="O173" s="9"/>
      <c r="P173" s="10"/>
      <c r="Q173" s="11"/>
      <c r="R173" s="11"/>
      <c r="S173" s="11"/>
      <c r="T173" s="11"/>
      <c r="U173" s="11"/>
      <c r="V173" s="11"/>
      <c r="W173" s="11"/>
      <c r="X173" s="11"/>
      <c r="Y173" s="11"/>
      <c r="Z173" s="12"/>
      <c r="AA173" s="12"/>
      <c r="AB173" s="12"/>
      <c r="AC173" s="12"/>
      <c r="AD173" s="12"/>
      <c r="AE173" s="12"/>
      <c r="AF173" s="12"/>
    </row>
    <row r="174" ht="46.5" customHeight="1">
      <c r="A174" s="1"/>
      <c r="B174" s="2"/>
      <c r="C174" s="2"/>
      <c r="D174" s="3"/>
      <c r="E174" s="3"/>
      <c r="F174" s="3"/>
      <c r="G174" s="3"/>
      <c r="H174" s="4"/>
      <c r="I174" s="5"/>
      <c r="J174" s="6"/>
      <c r="K174" s="7"/>
      <c r="L174" s="8"/>
      <c r="M174" s="9"/>
      <c r="N174" s="9"/>
      <c r="O174" s="9"/>
      <c r="P174" s="10"/>
      <c r="Q174" s="11"/>
      <c r="R174" s="11"/>
      <c r="S174" s="11"/>
      <c r="T174" s="11"/>
      <c r="U174" s="11"/>
      <c r="V174" s="11"/>
      <c r="W174" s="11"/>
      <c r="X174" s="11"/>
      <c r="Y174" s="11"/>
      <c r="Z174" s="12"/>
      <c r="AA174" s="12"/>
      <c r="AB174" s="12"/>
      <c r="AC174" s="12"/>
      <c r="AD174" s="12"/>
      <c r="AE174" s="12"/>
      <c r="AF174" s="12"/>
    </row>
    <row r="175" ht="46.5" customHeight="1">
      <c r="A175" s="1"/>
      <c r="B175" s="2"/>
      <c r="C175" s="2"/>
      <c r="D175" s="3"/>
      <c r="E175" s="3"/>
      <c r="F175" s="3"/>
      <c r="G175" s="3"/>
      <c r="H175" s="4"/>
      <c r="I175" s="5"/>
      <c r="J175" s="6"/>
      <c r="K175" s="7"/>
      <c r="L175" s="8"/>
      <c r="M175" s="9"/>
      <c r="N175" s="9"/>
      <c r="O175" s="9"/>
      <c r="P175" s="10"/>
      <c r="Q175" s="11"/>
      <c r="R175" s="11"/>
      <c r="S175" s="11"/>
      <c r="T175" s="11"/>
      <c r="U175" s="11"/>
      <c r="V175" s="11"/>
      <c r="W175" s="11"/>
      <c r="X175" s="11"/>
      <c r="Y175" s="11"/>
      <c r="Z175" s="12"/>
      <c r="AA175" s="12"/>
      <c r="AB175" s="12"/>
      <c r="AC175" s="12"/>
      <c r="AD175" s="12"/>
      <c r="AE175" s="12"/>
      <c r="AF175" s="12"/>
    </row>
    <row r="176" ht="46.5" customHeight="1">
      <c r="A176" s="1"/>
      <c r="B176" s="2"/>
      <c r="C176" s="2"/>
      <c r="D176" s="3"/>
      <c r="E176" s="3"/>
      <c r="F176" s="3"/>
      <c r="G176" s="3"/>
      <c r="H176" s="4"/>
      <c r="I176" s="5"/>
      <c r="J176" s="6"/>
      <c r="K176" s="7"/>
      <c r="L176" s="8"/>
      <c r="M176" s="9"/>
      <c r="N176" s="9"/>
      <c r="O176" s="9"/>
      <c r="P176" s="10"/>
      <c r="Q176" s="11"/>
      <c r="R176" s="11"/>
      <c r="S176" s="11"/>
      <c r="T176" s="11"/>
      <c r="U176" s="11"/>
      <c r="V176" s="11"/>
      <c r="W176" s="11"/>
      <c r="X176" s="11"/>
      <c r="Y176" s="11"/>
      <c r="Z176" s="12"/>
      <c r="AA176" s="12"/>
      <c r="AB176" s="12"/>
      <c r="AC176" s="12"/>
      <c r="AD176" s="12"/>
      <c r="AE176" s="12"/>
      <c r="AF176" s="12"/>
    </row>
    <row r="177" ht="46.5" customHeight="1">
      <c r="A177" s="1"/>
      <c r="B177" s="2"/>
      <c r="C177" s="2"/>
      <c r="D177" s="3"/>
      <c r="E177" s="3"/>
      <c r="F177" s="3"/>
      <c r="G177" s="3"/>
      <c r="H177" s="4"/>
      <c r="I177" s="5"/>
      <c r="J177" s="6"/>
      <c r="K177" s="7"/>
      <c r="L177" s="8"/>
      <c r="M177" s="9"/>
      <c r="N177" s="9"/>
      <c r="O177" s="9"/>
      <c r="P177" s="10"/>
      <c r="Q177" s="11"/>
      <c r="R177" s="11"/>
      <c r="S177" s="11"/>
      <c r="T177" s="11"/>
      <c r="U177" s="11"/>
      <c r="V177" s="11"/>
      <c r="W177" s="11"/>
      <c r="X177" s="11"/>
      <c r="Y177" s="11"/>
      <c r="Z177" s="12"/>
      <c r="AA177" s="12"/>
      <c r="AB177" s="12"/>
      <c r="AC177" s="12"/>
      <c r="AD177" s="12"/>
      <c r="AE177" s="12"/>
      <c r="AF177" s="12"/>
    </row>
    <row r="178" ht="46.5" customHeight="1">
      <c r="A178" s="1"/>
      <c r="B178" s="2"/>
      <c r="C178" s="2"/>
      <c r="D178" s="3"/>
      <c r="E178" s="3"/>
      <c r="F178" s="3"/>
      <c r="G178" s="3"/>
      <c r="H178" s="4"/>
      <c r="I178" s="5"/>
      <c r="J178" s="6"/>
      <c r="K178" s="7"/>
      <c r="L178" s="8"/>
      <c r="M178" s="9"/>
      <c r="N178" s="9"/>
      <c r="O178" s="9"/>
      <c r="P178" s="10"/>
      <c r="Q178" s="11"/>
      <c r="R178" s="11"/>
      <c r="S178" s="11"/>
      <c r="T178" s="11"/>
      <c r="U178" s="11"/>
      <c r="V178" s="11"/>
      <c r="W178" s="11"/>
      <c r="X178" s="11"/>
      <c r="Y178" s="11"/>
      <c r="Z178" s="12"/>
      <c r="AA178" s="12"/>
      <c r="AB178" s="12"/>
      <c r="AC178" s="12"/>
      <c r="AD178" s="12"/>
      <c r="AE178" s="12"/>
      <c r="AF178" s="12"/>
    </row>
    <row r="179" ht="46.5" customHeight="1">
      <c r="A179" s="1"/>
      <c r="B179" s="2"/>
      <c r="C179" s="2"/>
      <c r="D179" s="3"/>
      <c r="E179" s="3"/>
      <c r="F179" s="3"/>
      <c r="G179" s="3"/>
      <c r="H179" s="4"/>
      <c r="I179" s="5"/>
      <c r="J179" s="6"/>
      <c r="K179" s="7"/>
      <c r="L179" s="8"/>
      <c r="M179" s="9"/>
      <c r="N179" s="9"/>
      <c r="O179" s="9"/>
      <c r="P179" s="10"/>
      <c r="Q179" s="11"/>
      <c r="R179" s="11"/>
      <c r="S179" s="11"/>
      <c r="T179" s="11"/>
      <c r="U179" s="11"/>
      <c r="V179" s="11"/>
      <c r="W179" s="11"/>
      <c r="X179" s="11"/>
      <c r="Y179" s="11"/>
      <c r="Z179" s="12"/>
      <c r="AA179" s="12"/>
      <c r="AB179" s="12"/>
      <c r="AC179" s="12"/>
      <c r="AD179" s="12"/>
      <c r="AE179" s="12"/>
      <c r="AF179" s="12"/>
    </row>
    <row r="180" ht="46.5" customHeight="1">
      <c r="A180" s="1"/>
      <c r="B180" s="2"/>
      <c r="C180" s="2"/>
      <c r="D180" s="3"/>
      <c r="E180" s="3"/>
      <c r="F180" s="3"/>
      <c r="G180" s="3"/>
      <c r="H180" s="4"/>
      <c r="I180" s="5"/>
      <c r="J180" s="6"/>
      <c r="K180" s="7"/>
      <c r="L180" s="8"/>
      <c r="M180" s="9"/>
      <c r="N180" s="9"/>
      <c r="O180" s="9"/>
      <c r="P180" s="10"/>
      <c r="Q180" s="11"/>
      <c r="R180" s="11"/>
      <c r="S180" s="11"/>
      <c r="T180" s="11"/>
      <c r="U180" s="11"/>
      <c r="V180" s="11"/>
      <c r="W180" s="11"/>
      <c r="X180" s="11"/>
      <c r="Y180" s="11"/>
      <c r="Z180" s="12"/>
      <c r="AA180" s="12"/>
      <c r="AB180" s="12"/>
      <c r="AC180" s="12"/>
      <c r="AD180" s="12"/>
      <c r="AE180" s="12"/>
      <c r="AF180" s="12"/>
    </row>
    <row r="181" ht="46.5" customHeight="1">
      <c r="A181" s="1"/>
      <c r="B181" s="2"/>
      <c r="C181" s="2"/>
      <c r="D181" s="3"/>
      <c r="E181" s="3"/>
      <c r="F181" s="3"/>
      <c r="G181" s="3"/>
      <c r="H181" s="4"/>
      <c r="I181" s="5"/>
      <c r="J181" s="6"/>
      <c r="K181" s="7"/>
      <c r="L181" s="8"/>
      <c r="M181" s="9"/>
      <c r="N181" s="9"/>
      <c r="O181" s="9"/>
      <c r="P181" s="10"/>
      <c r="Q181" s="11"/>
      <c r="R181" s="11"/>
      <c r="S181" s="11"/>
      <c r="T181" s="11"/>
      <c r="U181" s="11"/>
      <c r="V181" s="11"/>
      <c r="W181" s="11"/>
      <c r="X181" s="11"/>
      <c r="Y181" s="11"/>
      <c r="Z181" s="12"/>
      <c r="AA181" s="12"/>
      <c r="AB181" s="12"/>
      <c r="AC181" s="12"/>
      <c r="AD181" s="12"/>
      <c r="AE181" s="12"/>
      <c r="AF181" s="12"/>
    </row>
    <row r="182" ht="46.5" customHeight="1">
      <c r="A182" s="1"/>
      <c r="B182" s="2"/>
      <c r="C182" s="2"/>
      <c r="D182" s="3"/>
      <c r="E182" s="3"/>
      <c r="F182" s="3"/>
      <c r="G182" s="3"/>
      <c r="H182" s="4"/>
      <c r="I182" s="5"/>
      <c r="J182" s="6"/>
      <c r="K182" s="7"/>
      <c r="L182" s="8"/>
      <c r="M182" s="9"/>
      <c r="N182" s="9"/>
      <c r="O182" s="9"/>
      <c r="P182" s="10"/>
      <c r="Q182" s="11"/>
      <c r="R182" s="11"/>
      <c r="S182" s="11"/>
      <c r="T182" s="11"/>
      <c r="U182" s="11"/>
      <c r="V182" s="11"/>
      <c r="W182" s="11"/>
      <c r="X182" s="11"/>
      <c r="Y182" s="11"/>
      <c r="Z182" s="12"/>
      <c r="AA182" s="12"/>
      <c r="AB182" s="12"/>
      <c r="AC182" s="12"/>
      <c r="AD182" s="12"/>
      <c r="AE182" s="12"/>
      <c r="AF182" s="12"/>
    </row>
    <row r="183" ht="46.5" customHeight="1">
      <c r="A183" s="1"/>
      <c r="B183" s="2"/>
      <c r="C183" s="2"/>
      <c r="D183" s="3"/>
      <c r="E183" s="3"/>
      <c r="F183" s="3"/>
      <c r="G183" s="3"/>
      <c r="H183" s="4"/>
      <c r="I183" s="5"/>
      <c r="J183" s="6"/>
      <c r="K183" s="7"/>
      <c r="L183" s="8"/>
      <c r="M183" s="9"/>
      <c r="N183" s="9"/>
      <c r="O183" s="9"/>
      <c r="P183" s="10"/>
      <c r="Q183" s="11"/>
      <c r="R183" s="11"/>
      <c r="S183" s="11"/>
      <c r="T183" s="11"/>
      <c r="U183" s="11"/>
      <c r="V183" s="11"/>
      <c r="W183" s="11"/>
      <c r="X183" s="11"/>
      <c r="Y183" s="11"/>
      <c r="Z183" s="12"/>
      <c r="AA183" s="12"/>
      <c r="AB183" s="12"/>
      <c r="AC183" s="12"/>
      <c r="AD183" s="12"/>
      <c r="AE183" s="12"/>
      <c r="AF183" s="12"/>
    </row>
    <row r="184" ht="46.5" customHeight="1">
      <c r="A184" s="1"/>
      <c r="B184" s="2"/>
      <c r="C184" s="2"/>
      <c r="D184" s="3"/>
      <c r="E184" s="3"/>
      <c r="F184" s="3"/>
      <c r="G184" s="3"/>
      <c r="H184" s="4"/>
      <c r="I184" s="5"/>
      <c r="J184" s="6"/>
      <c r="K184" s="7"/>
      <c r="L184" s="8"/>
      <c r="M184" s="9"/>
      <c r="N184" s="9"/>
      <c r="O184" s="9"/>
      <c r="P184" s="10"/>
      <c r="Q184" s="11"/>
      <c r="R184" s="11"/>
      <c r="S184" s="11"/>
      <c r="T184" s="11"/>
      <c r="U184" s="11"/>
      <c r="V184" s="11"/>
      <c r="W184" s="11"/>
      <c r="X184" s="11"/>
      <c r="Y184" s="11"/>
      <c r="Z184" s="12"/>
      <c r="AA184" s="12"/>
      <c r="AB184" s="12"/>
      <c r="AC184" s="12"/>
      <c r="AD184" s="12"/>
      <c r="AE184" s="12"/>
      <c r="AF184" s="12"/>
    </row>
    <row r="185" ht="46.5" customHeight="1">
      <c r="A185" s="1"/>
      <c r="B185" s="2"/>
      <c r="C185" s="2"/>
      <c r="D185" s="3"/>
      <c r="E185" s="3"/>
      <c r="F185" s="3"/>
      <c r="G185" s="3"/>
      <c r="H185" s="4"/>
      <c r="I185" s="5"/>
      <c r="J185" s="6"/>
      <c r="K185" s="7"/>
      <c r="L185" s="8"/>
      <c r="M185" s="9"/>
      <c r="N185" s="9"/>
      <c r="O185" s="9"/>
      <c r="P185" s="10"/>
      <c r="Q185" s="11"/>
      <c r="R185" s="11"/>
      <c r="S185" s="11"/>
      <c r="T185" s="11"/>
      <c r="U185" s="11"/>
      <c r="V185" s="11"/>
      <c r="W185" s="11"/>
      <c r="X185" s="11"/>
      <c r="Y185" s="11"/>
      <c r="Z185" s="12"/>
      <c r="AA185" s="12"/>
      <c r="AB185" s="12"/>
      <c r="AC185" s="12"/>
      <c r="AD185" s="12"/>
      <c r="AE185" s="12"/>
      <c r="AF185" s="12"/>
    </row>
    <row r="186" ht="46.5" customHeight="1">
      <c r="A186" s="1"/>
      <c r="B186" s="2"/>
      <c r="C186" s="2"/>
      <c r="D186" s="3"/>
      <c r="E186" s="3"/>
      <c r="F186" s="3"/>
      <c r="G186" s="3"/>
      <c r="H186" s="4"/>
      <c r="I186" s="5"/>
      <c r="J186" s="6"/>
      <c r="K186" s="7"/>
      <c r="L186" s="8"/>
      <c r="M186" s="9"/>
      <c r="N186" s="9"/>
      <c r="O186" s="9"/>
      <c r="P186" s="10"/>
      <c r="Q186" s="11"/>
      <c r="R186" s="11"/>
      <c r="S186" s="11"/>
      <c r="T186" s="11"/>
      <c r="U186" s="11"/>
      <c r="V186" s="11"/>
      <c r="W186" s="11"/>
      <c r="X186" s="11"/>
      <c r="Y186" s="11"/>
      <c r="Z186" s="12"/>
      <c r="AA186" s="12"/>
      <c r="AB186" s="12"/>
      <c r="AC186" s="12"/>
      <c r="AD186" s="12"/>
      <c r="AE186" s="12"/>
      <c r="AF186" s="12"/>
    </row>
    <row r="187" ht="46.5" customHeight="1">
      <c r="A187" s="1"/>
      <c r="B187" s="2"/>
      <c r="C187" s="2"/>
      <c r="D187" s="3"/>
      <c r="E187" s="3"/>
      <c r="F187" s="3"/>
      <c r="G187" s="3"/>
      <c r="H187" s="4"/>
      <c r="I187" s="5"/>
      <c r="J187" s="6"/>
      <c r="K187" s="7"/>
      <c r="L187" s="8"/>
      <c r="M187" s="9"/>
      <c r="N187" s="9"/>
      <c r="O187" s="9"/>
      <c r="P187" s="10"/>
      <c r="Q187" s="11"/>
      <c r="R187" s="11"/>
      <c r="S187" s="11"/>
      <c r="T187" s="11"/>
      <c r="U187" s="11"/>
      <c r="V187" s="11"/>
      <c r="W187" s="11"/>
      <c r="X187" s="11"/>
      <c r="Y187" s="11"/>
      <c r="Z187" s="12"/>
      <c r="AA187" s="12"/>
      <c r="AB187" s="12"/>
      <c r="AC187" s="12"/>
      <c r="AD187" s="12"/>
      <c r="AE187" s="12"/>
      <c r="AF187" s="12"/>
    </row>
    <row r="188" ht="46.5" customHeight="1">
      <c r="A188" s="1"/>
      <c r="B188" s="2"/>
      <c r="C188" s="2"/>
      <c r="D188" s="3"/>
      <c r="E188" s="3"/>
      <c r="F188" s="3"/>
      <c r="G188" s="3"/>
      <c r="H188" s="4"/>
      <c r="I188" s="5"/>
      <c r="J188" s="6"/>
      <c r="K188" s="7"/>
      <c r="L188" s="8"/>
      <c r="M188" s="9"/>
      <c r="N188" s="9"/>
      <c r="O188" s="9"/>
      <c r="P188" s="10"/>
      <c r="Q188" s="11"/>
      <c r="R188" s="11"/>
      <c r="S188" s="11"/>
      <c r="T188" s="11"/>
      <c r="U188" s="11"/>
      <c r="V188" s="11"/>
      <c r="W188" s="11"/>
      <c r="X188" s="11"/>
      <c r="Y188" s="11"/>
      <c r="Z188" s="12"/>
      <c r="AA188" s="12"/>
      <c r="AB188" s="12"/>
      <c r="AC188" s="12"/>
      <c r="AD188" s="12"/>
      <c r="AE188" s="12"/>
      <c r="AF188" s="12"/>
    </row>
    <row r="189" ht="46.5" customHeight="1">
      <c r="A189" s="1"/>
      <c r="B189" s="2"/>
      <c r="C189" s="2"/>
      <c r="D189" s="3"/>
      <c r="E189" s="3"/>
      <c r="F189" s="3"/>
      <c r="G189" s="3"/>
      <c r="H189" s="4"/>
      <c r="I189" s="5"/>
      <c r="J189" s="6"/>
      <c r="K189" s="7"/>
      <c r="L189" s="8"/>
      <c r="M189" s="9"/>
      <c r="N189" s="9"/>
      <c r="O189" s="9"/>
      <c r="P189" s="10"/>
      <c r="Q189" s="11"/>
      <c r="R189" s="11"/>
      <c r="S189" s="11"/>
      <c r="T189" s="11"/>
      <c r="U189" s="11"/>
      <c r="V189" s="11"/>
      <c r="W189" s="11"/>
      <c r="X189" s="11"/>
      <c r="Y189" s="11"/>
      <c r="Z189" s="12"/>
      <c r="AA189" s="12"/>
      <c r="AB189" s="12"/>
      <c r="AC189" s="12"/>
      <c r="AD189" s="12"/>
      <c r="AE189" s="12"/>
      <c r="AF189" s="12"/>
    </row>
    <row r="190" ht="46.5" customHeight="1">
      <c r="A190" s="1"/>
      <c r="B190" s="2"/>
      <c r="C190" s="2"/>
      <c r="D190" s="3"/>
      <c r="E190" s="3"/>
      <c r="F190" s="3"/>
      <c r="G190" s="3"/>
      <c r="H190" s="4"/>
      <c r="I190" s="5"/>
      <c r="J190" s="6"/>
      <c r="K190" s="7"/>
      <c r="L190" s="8"/>
      <c r="M190" s="9"/>
      <c r="N190" s="9"/>
      <c r="O190" s="9"/>
      <c r="P190" s="10"/>
      <c r="Q190" s="11"/>
      <c r="R190" s="11"/>
      <c r="S190" s="11"/>
      <c r="T190" s="11"/>
      <c r="U190" s="11"/>
      <c r="V190" s="11"/>
      <c r="W190" s="11"/>
      <c r="X190" s="11"/>
      <c r="Y190" s="11"/>
      <c r="Z190" s="12"/>
      <c r="AA190" s="12"/>
      <c r="AB190" s="12"/>
      <c r="AC190" s="12"/>
      <c r="AD190" s="12"/>
      <c r="AE190" s="12"/>
      <c r="AF190" s="12"/>
    </row>
    <row r="191" ht="46.5" customHeight="1">
      <c r="A191" s="1"/>
      <c r="B191" s="2"/>
      <c r="C191" s="2"/>
      <c r="D191" s="3"/>
      <c r="E191" s="3"/>
      <c r="F191" s="3"/>
      <c r="G191" s="3"/>
      <c r="H191" s="4"/>
      <c r="I191" s="5"/>
      <c r="J191" s="6"/>
      <c r="K191" s="7"/>
      <c r="L191" s="8"/>
      <c r="M191" s="9"/>
      <c r="N191" s="9"/>
      <c r="O191" s="9"/>
      <c r="P191" s="10"/>
      <c r="Q191" s="11"/>
      <c r="R191" s="11"/>
      <c r="S191" s="11"/>
      <c r="T191" s="11"/>
      <c r="U191" s="11"/>
      <c r="V191" s="11"/>
      <c r="W191" s="11"/>
      <c r="X191" s="11"/>
      <c r="Y191" s="11"/>
      <c r="Z191" s="12"/>
      <c r="AA191" s="12"/>
      <c r="AB191" s="12"/>
      <c r="AC191" s="12"/>
      <c r="AD191" s="12"/>
      <c r="AE191" s="12"/>
      <c r="AF191" s="12"/>
    </row>
    <row r="192" ht="46.5" customHeight="1">
      <c r="A192" s="1"/>
      <c r="B192" s="2"/>
      <c r="C192" s="2"/>
      <c r="D192" s="3"/>
      <c r="E192" s="3"/>
      <c r="F192" s="3"/>
      <c r="G192" s="3"/>
      <c r="H192" s="4"/>
      <c r="I192" s="5"/>
      <c r="J192" s="6"/>
      <c r="K192" s="7"/>
      <c r="L192" s="8"/>
      <c r="M192" s="9"/>
      <c r="N192" s="9"/>
      <c r="O192" s="9"/>
      <c r="P192" s="10"/>
      <c r="Q192" s="11"/>
      <c r="R192" s="11"/>
      <c r="S192" s="11"/>
      <c r="T192" s="11"/>
      <c r="U192" s="11"/>
      <c r="V192" s="11"/>
      <c r="W192" s="11"/>
      <c r="X192" s="11"/>
      <c r="Y192" s="11"/>
      <c r="Z192" s="12"/>
      <c r="AA192" s="12"/>
      <c r="AB192" s="12"/>
      <c r="AC192" s="12"/>
      <c r="AD192" s="12"/>
      <c r="AE192" s="12"/>
      <c r="AF192" s="12"/>
    </row>
    <row r="193" ht="46.5" customHeight="1">
      <c r="A193" s="1"/>
      <c r="B193" s="2"/>
      <c r="C193" s="2"/>
      <c r="D193" s="3"/>
      <c r="E193" s="3"/>
      <c r="F193" s="3"/>
      <c r="G193" s="3"/>
      <c r="H193" s="4"/>
      <c r="I193" s="5"/>
      <c r="J193" s="6"/>
      <c r="K193" s="7"/>
      <c r="L193" s="8"/>
      <c r="M193" s="9"/>
      <c r="N193" s="9"/>
      <c r="O193" s="9"/>
      <c r="P193" s="10"/>
      <c r="Q193" s="11"/>
      <c r="R193" s="11"/>
      <c r="S193" s="11"/>
      <c r="T193" s="11"/>
      <c r="U193" s="11"/>
      <c r="V193" s="11"/>
      <c r="W193" s="11"/>
      <c r="X193" s="11"/>
      <c r="Y193" s="11"/>
      <c r="Z193" s="12"/>
      <c r="AA193" s="12"/>
      <c r="AB193" s="12"/>
      <c r="AC193" s="12"/>
      <c r="AD193" s="12"/>
      <c r="AE193" s="12"/>
      <c r="AF193" s="12"/>
    </row>
    <row r="194" ht="46.5" customHeight="1">
      <c r="A194" s="1"/>
      <c r="B194" s="2"/>
      <c r="C194" s="2"/>
      <c r="D194" s="3"/>
      <c r="E194" s="3"/>
      <c r="F194" s="3"/>
      <c r="G194" s="3"/>
      <c r="H194" s="4"/>
      <c r="I194" s="5"/>
      <c r="J194" s="6"/>
      <c r="K194" s="7"/>
      <c r="L194" s="8"/>
      <c r="M194" s="9"/>
      <c r="N194" s="9"/>
      <c r="O194" s="9"/>
      <c r="P194" s="10"/>
      <c r="Q194" s="11"/>
      <c r="R194" s="11"/>
      <c r="S194" s="11"/>
      <c r="T194" s="11"/>
      <c r="U194" s="11"/>
      <c r="V194" s="11"/>
      <c r="W194" s="11"/>
      <c r="X194" s="11"/>
      <c r="Y194" s="11"/>
      <c r="Z194" s="12"/>
      <c r="AA194" s="12"/>
      <c r="AB194" s="12"/>
      <c r="AC194" s="12"/>
      <c r="AD194" s="12"/>
      <c r="AE194" s="12"/>
      <c r="AF194" s="12"/>
    </row>
    <row r="195" ht="46.5" customHeight="1">
      <c r="A195" s="1"/>
      <c r="B195" s="2"/>
      <c r="C195" s="2"/>
      <c r="D195" s="3"/>
      <c r="E195" s="3"/>
      <c r="F195" s="3"/>
      <c r="G195" s="3"/>
      <c r="H195" s="4"/>
      <c r="I195" s="5"/>
      <c r="J195" s="6"/>
      <c r="K195" s="7"/>
      <c r="L195" s="8"/>
      <c r="M195" s="9"/>
      <c r="N195" s="9"/>
      <c r="O195" s="9"/>
      <c r="P195" s="10"/>
      <c r="Q195" s="11"/>
      <c r="R195" s="11"/>
      <c r="S195" s="11"/>
      <c r="T195" s="11"/>
      <c r="U195" s="11"/>
      <c r="V195" s="11"/>
      <c r="W195" s="11"/>
      <c r="X195" s="11"/>
      <c r="Y195" s="11"/>
      <c r="Z195" s="12"/>
      <c r="AA195" s="12"/>
      <c r="AB195" s="12"/>
      <c r="AC195" s="12"/>
      <c r="AD195" s="12"/>
      <c r="AE195" s="12"/>
      <c r="AF195" s="12"/>
    </row>
    <row r="196" ht="46.5" customHeight="1">
      <c r="A196" s="1"/>
      <c r="B196" s="2"/>
      <c r="C196" s="2"/>
      <c r="D196" s="3"/>
      <c r="E196" s="3"/>
      <c r="F196" s="3"/>
      <c r="G196" s="3"/>
      <c r="H196" s="4"/>
      <c r="I196" s="5"/>
      <c r="J196" s="6"/>
      <c r="K196" s="7"/>
      <c r="L196" s="8"/>
      <c r="M196" s="9"/>
      <c r="N196" s="9"/>
      <c r="O196" s="9"/>
      <c r="P196" s="10"/>
      <c r="Q196" s="11"/>
      <c r="R196" s="11"/>
      <c r="S196" s="11"/>
      <c r="T196" s="11"/>
      <c r="U196" s="11"/>
      <c r="V196" s="11"/>
      <c r="W196" s="11"/>
      <c r="X196" s="11"/>
      <c r="Y196" s="11"/>
      <c r="Z196" s="12"/>
      <c r="AA196" s="12"/>
      <c r="AB196" s="12"/>
      <c r="AC196" s="12"/>
      <c r="AD196" s="12"/>
      <c r="AE196" s="12"/>
      <c r="AF196" s="12"/>
    </row>
    <row r="197" ht="46.5" customHeight="1">
      <c r="A197" s="1"/>
      <c r="B197" s="2"/>
      <c r="C197" s="2"/>
      <c r="D197" s="3"/>
      <c r="E197" s="3"/>
      <c r="F197" s="3"/>
      <c r="G197" s="3"/>
      <c r="H197" s="4"/>
      <c r="I197" s="5"/>
      <c r="J197" s="6"/>
      <c r="K197" s="7"/>
      <c r="L197" s="8"/>
      <c r="M197" s="9"/>
      <c r="N197" s="9"/>
      <c r="O197" s="9"/>
      <c r="P197" s="10"/>
      <c r="Q197" s="11"/>
      <c r="R197" s="11"/>
      <c r="S197" s="11"/>
      <c r="T197" s="11"/>
      <c r="U197" s="11"/>
      <c r="V197" s="11"/>
      <c r="W197" s="11"/>
      <c r="X197" s="11"/>
      <c r="Y197" s="11"/>
      <c r="Z197" s="12"/>
      <c r="AA197" s="12"/>
      <c r="AB197" s="12"/>
      <c r="AC197" s="12"/>
      <c r="AD197" s="12"/>
      <c r="AE197" s="12"/>
      <c r="AF197" s="12"/>
    </row>
    <row r="198" ht="46.5" customHeight="1">
      <c r="A198" s="1"/>
      <c r="B198" s="2"/>
      <c r="C198" s="2"/>
      <c r="D198" s="3"/>
      <c r="E198" s="3"/>
      <c r="F198" s="3"/>
      <c r="G198" s="3"/>
      <c r="H198" s="4"/>
      <c r="I198" s="5"/>
      <c r="J198" s="6"/>
      <c r="K198" s="7"/>
      <c r="L198" s="8"/>
      <c r="M198" s="9"/>
      <c r="N198" s="9"/>
      <c r="O198" s="9"/>
      <c r="P198" s="10"/>
      <c r="Q198" s="11"/>
      <c r="R198" s="11"/>
      <c r="S198" s="11"/>
      <c r="T198" s="11"/>
      <c r="U198" s="11"/>
      <c r="V198" s="11"/>
      <c r="W198" s="11"/>
      <c r="X198" s="11"/>
      <c r="Y198" s="11"/>
      <c r="Z198" s="12"/>
      <c r="AA198" s="12"/>
      <c r="AB198" s="12"/>
      <c r="AC198" s="12"/>
      <c r="AD198" s="12"/>
      <c r="AE198" s="12"/>
      <c r="AF198" s="12"/>
    </row>
    <row r="199" ht="46.5" customHeight="1">
      <c r="A199" s="1"/>
      <c r="B199" s="2"/>
      <c r="C199" s="2"/>
      <c r="D199" s="3"/>
      <c r="E199" s="3"/>
      <c r="F199" s="3"/>
      <c r="G199" s="3"/>
      <c r="H199" s="4"/>
      <c r="I199" s="5"/>
      <c r="J199" s="6"/>
      <c r="K199" s="7"/>
      <c r="L199" s="8"/>
      <c r="M199" s="9"/>
      <c r="N199" s="9"/>
      <c r="O199" s="9"/>
      <c r="P199" s="10"/>
      <c r="Q199" s="11"/>
      <c r="R199" s="11"/>
      <c r="S199" s="11"/>
      <c r="T199" s="11"/>
      <c r="U199" s="11"/>
      <c r="V199" s="11"/>
      <c r="W199" s="11"/>
      <c r="X199" s="11"/>
      <c r="Y199" s="11"/>
      <c r="Z199" s="12"/>
      <c r="AA199" s="12"/>
      <c r="AB199" s="12"/>
      <c r="AC199" s="12"/>
      <c r="AD199" s="12"/>
      <c r="AE199" s="12"/>
      <c r="AF199" s="12"/>
    </row>
    <row r="200" ht="46.5" customHeight="1">
      <c r="A200" s="1"/>
      <c r="B200" s="2"/>
      <c r="C200" s="2"/>
      <c r="D200" s="3"/>
      <c r="E200" s="3"/>
      <c r="F200" s="3"/>
      <c r="G200" s="3"/>
      <c r="H200" s="4"/>
      <c r="I200" s="5"/>
      <c r="J200" s="6"/>
      <c r="K200" s="7"/>
      <c r="L200" s="8"/>
      <c r="M200" s="9"/>
      <c r="N200" s="9"/>
      <c r="O200" s="9"/>
      <c r="P200" s="10"/>
      <c r="Q200" s="11"/>
      <c r="R200" s="11"/>
      <c r="S200" s="11"/>
      <c r="T200" s="11"/>
      <c r="U200" s="11"/>
      <c r="V200" s="11"/>
      <c r="W200" s="11"/>
      <c r="X200" s="11"/>
      <c r="Y200" s="11"/>
      <c r="Z200" s="12"/>
      <c r="AA200" s="12"/>
      <c r="AB200" s="12"/>
      <c r="AC200" s="12"/>
      <c r="AD200" s="12"/>
      <c r="AE200" s="12"/>
      <c r="AF200" s="12"/>
    </row>
    <row r="201" ht="46.5" customHeight="1">
      <c r="A201" s="1"/>
      <c r="B201" s="2"/>
      <c r="C201" s="2"/>
      <c r="D201" s="3"/>
      <c r="E201" s="3"/>
      <c r="F201" s="3"/>
      <c r="G201" s="3"/>
      <c r="H201" s="4"/>
      <c r="I201" s="5"/>
      <c r="J201" s="6"/>
      <c r="K201" s="7"/>
      <c r="L201" s="8"/>
      <c r="M201" s="9"/>
      <c r="N201" s="9"/>
      <c r="O201" s="9"/>
      <c r="P201" s="10"/>
      <c r="Q201" s="11"/>
      <c r="R201" s="11"/>
      <c r="S201" s="11"/>
      <c r="T201" s="11"/>
      <c r="U201" s="11"/>
      <c r="V201" s="11"/>
      <c r="W201" s="11"/>
      <c r="X201" s="11"/>
      <c r="Y201" s="11"/>
      <c r="Z201" s="12"/>
      <c r="AA201" s="12"/>
      <c r="AB201" s="12"/>
      <c r="AC201" s="12"/>
      <c r="AD201" s="12"/>
      <c r="AE201" s="12"/>
      <c r="AF201" s="12"/>
    </row>
    <row r="202" ht="46.5" customHeight="1">
      <c r="A202" s="1"/>
      <c r="B202" s="2"/>
      <c r="C202" s="2"/>
      <c r="D202" s="3"/>
      <c r="E202" s="3"/>
      <c r="F202" s="3"/>
      <c r="G202" s="3"/>
      <c r="H202" s="4"/>
      <c r="I202" s="5"/>
      <c r="J202" s="6"/>
      <c r="K202" s="7"/>
      <c r="L202" s="8"/>
      <c r="M202" s="9"/>
      <c r="N202" s="9"/>
      <c r="O202" s="9"/>
      <c r="P202" s="10"/>
      <c r="Q202" s="11"/>
      <c r="R202" s="11"/>
      <c r="S202" s="11"/>
      <c r="T202" s="11"/>
      <c r="U202" s="11"/>
      <c r="V202" s="11"/>
      <c r="W202" s="11"/>
      <c r="X202" s="11"/>
      <c r="Y202" s="11"/>
      <c r="Z202" s="12"/>
      <c r="AA202" s="12"/>
      <c r="AB202" s="12"/>
      <c r="AC202" s="12"/>
      <c r="AD202" s="12"/>
      <c r="AE202" s="12"/>
      <c r="AF202" s="12"/>
    </row>
    <row r="203" ht="46.5" customHeight="1">
      <c r="A203" s="1"/>
      <c r="B203" s="2"/>
      <c r="C203" s="2"/>
      <c r="D203" s="3"/>
      <c r="E203" s="3"/>
      <c r="F203" s="3"/>
      <c r="G203" s="3"/>
      <c r="H203" s="4"/>
      <c r="I203" s="5"/>
      <c r="J203" s="6"/>
      <c r="K203" s="7"/>
      <c r="L203" s="8"/>
      <c r="M203" s="9"/>
      <c r="N203" s="9"/>
      <c r="O203" s="9"/>
      <c r="P203" s="10"/>
      <c r="Q203" s="11"/>
      <c r="R203" s="11"/>
      <c r="S203" s="11"/>
      <c r="T203" s="11"/>
      <c r="U203" s="11"/>
      <c r="V203" s="11"/>
      <c r="W203" s="11"/>
      <c r="X203" s="11"/>
      <c r="Y203" s="11"/>
      <c r="Z203" s="12"/>
      <c r="AA203" s="12"/>
      <c r="AB203" s="12"/>
      <c r="AC203" s="12"/>
      <c r="AD203" s="12"/>
      <c r="AE203" s="12"/>
      <c r="AF203" s="12"/>
    </row>
    <row r="204" ht="46.5" customHeight="1">
      <c r="A204" s="1"/>
      <c r="B204" s="2"/>
      <c r="C204" s="2"/>
      <c r="D204" s="3"/>
      <c r="E204" s="3"/>
      <c r="F204" s="3"/>
      <c r="G204" s="3"/>
      <c r="H204" s="4"/>
      <c r="I204" s="5"/>
      <c r="J204" s="6"/>
      <c r="K204" s="7"/>
      <c r="L204" s="8"/>
      <c r="M204" s="9"/>
      <c r="N204" s="9"/>
      <c r="O204" s="9"/>
      <c r="P204" s="10"/>
      <c r="Q204" s="11"/>
      <c r="R204" s="11"/>
      <c r="S204" s="11"/>
      <c r="T204" s="11"/>
      <c r="U204" s="11"/>
      <c r="V204" s="11"/>
      <c r="W204" s="11"/>
      <c r="X204" s="11"/>
      <c r="Y204" s="11"/>
      <c r="Z204" s="12"/>
      <c r="AA204" s="12"/>
      <c r="AB204" s="12"/>
      <c r="AC204" s="12"/>
      <c r="AD204" s="12"/>
      <c r="AE204" s="12"/>
      <c r="AF204" s="12"/>
    </row>
    <row r="205" ht="46.5" customHeight="1">
      <c r="A205" s="1"/>
      <c r="B205" s="2"/>
      <c r="C205" s="2"/>
      <c r="D205" s="3"/>
      <c r="E205" s="3"/>
      <c r="F205" s="3"/>
      <c r="G205" s="3"/>
      <c r="H205" s="4"/>
      <c r="I205" s="5"/>
      <c r="J205" s="6"/>
      <c r="K205" s="7"/>
      <c r="L205" s="8"/>
      <c r="M205" s="9"/>
      <c r="N205" s="9"/>
      <c r="O205" s="9"/>
      <c r="P205" s="10"/>
      <c r="Q205" s="11"/>
      <c r="R205" s="11"/>
      <c r="S205" s="11"/>
      <c r="T205" s="11"/>
      <c r="U205" s="11"/>
      <c r="V205" s="11"/>
      <c r="W205" s="11"/>
      <c r="X205" s="11"/>
      <c r="Y205" s="11"/>
      <c r="Z205" s="12"/>
      <c r="AA205" s="12"/>
      <c r="AB205" s="12"/>
      <c r="AC205" s="12"/>
      <c r="AD205" s="12"/>
      <c r="AE205" s="12"/>
      <c r="AF205" s="12"/>
    </row>
    <row r="206" ht="46.5" customHeight="1">
      <c r="A206" s="1"/>
      <c r="B206" s="2"/>
      <c r="C206" s="2"/>
      <c r="D206" s="3"/>
      <c r="E206" s="3"/>
      <c r="F206" s="3"/>
      <c r="G206" s="3"/>
      <c r="H206" s="4"/>
      <c r="I206" s="5"/>
      <c r="J206" s="6"/>
      <c r="K206" s="7"/>
      <c r="L206" s="8"/>
      <c r="M206" s="9"/>
      <c r="N206" s="9"/>
      <c r="O206" s="9"/>
      <c r="P206" s="10"/>
      <c r="Q206" s="11"/>
      <c r="R206" s="11"/>
      <c r="S206" s="11"/>
      <c r="T206" s="11"/>
      <c r="U206" s="11"/>
      <c r="V206" s="11"/>
      <c r="W206" s="11"/>
      <c r="X206" s="11"/>
      <c r="Y206" s="11"/>
      <c r="Z206" s="12"/>
      <c r="AA206" s="12"/>
      <c r="AB206" s="12"/>
      <c r="AC206" s="12"/>
      <c r="AD206" s="12"/>
      <c r="AE206" s="12"/>
      <c r="AF206" s="12"/>
    </row>
    <row r="207" ht="46.5" customHeight="1">
      <c r="A207" s="1"/>
      <c r="B207" s="2"/>
      <c r="C207" s="2"/>
      <c r="D207" s="3"/>
      <c r="E207" s="3"/>
      <c r="F207" s="3"/>
      <c r="G207" s="3"/>
      <c r="H207" s="4"/>
      <c r="I207" s="5"/>
      <c r="J207" s="6"/>
      <c r="K207" s="7"/>
      <c r="L207" s="8"/>
      <c r="M207" s="9"/>
      <c r="N207" s="9"/>
      <c r="O207" s="9"/>
      <c r="P207" s="10"/>
      <c r="Q207" s="11"/>
      <c r="R207" s="11"/>
      <c r="S207" s="11"/>
      <c r="T207" s="11"/>
      <c r="U207" s="11"/>
      <c r="V207" s="11"/>
      <c r="W207" s="11"/>
      <c r="X207" s="11"/>
      <c r="Y207" s="11"/>
      <c r="Z207" s="12"/>
      <c r="AA207" s="12"/>
      <c r="AB207" s="12"/>
      <c r="AC207" s="12"/>
      <c r="AD207" s="12"/>
      <c r="AE207" s="12"/>
      <c r="AF207" s="12"/>
    </row>
    <row r="208" ht="46.5" customHeight="1">
      <c r="A208" s="1"/>
      <c r="B208" s="2"/>
      <c r="C208" s="2"/>
      <c r="D208" s="3"/>
      <c r="E208" s="3"/>
      <c r="F208" s="3"/>
      <c r="G208" s="3"/>
      <c r="H208" s="4"/>
      <c r="I208" s="5"/>
      <c r="J208" s="6"/>
      <c r="K208" s="7"/>
      <c r="L208" s="8"/>
      <c r="M208" s="9"/>
      <c r="N208" s="9"/>
      <c r="O208" s="9"/>
      <c r="P208" s="10"/>
      <c r="Q208" s="11"/>
      <c r="R208" s="11"/>
      <c r="S208" s="11"/>
      <c r="T208" s="11"/>
      <c r="U208" s="11"/>
      <c r="V208" s="11"/>
      <c r="W208" s="11"/>
      <c r="X208" s="11"/>
      <c r="Y208" s="11"/>
      <c r="Z208" s="12"/>
      <c r="AA208" s="12"/>
      <c r="AB208" s="12"/>
      <c r="AC208" s="12"/>
      <c r="AD208" s="12"/>
      <c r="AE208" s="12"/>
      <c r="AF208" s="12"/>
    </row>
    <row r="209" ht="46.5" customHeight="1">
      <c r="A209" s="1"/>
      <c r="B209" s="2"/>
      <c r="C209" s="2"/>
      <c r="D209" s="3"/>
      <c r="E209" s="3"/>
      <c r="F209" s="3"/>
      <c r="G209" s="3"/>
      <c r="H209" s="4"/>
      <c r="I209" s="5"/>
      <c r="J209" s="6"/>
      <c r="K209" s="7"/>
      <c r="L209" s="8"/>
      <c r="M209" s="9"/>
      <c r="N209" s="9"/>
      <c r="O209" s="9"/>
      <c r="P209" s="10"/>
      <c r="Q209" s="11"/>
      <c r="R209" s="11"/>
      <c r="S209" s="11"/>
      <c r="T209" s="11"/>
      <c r="U209" s="11"/>
      <c r="V209" s="11"/>
      <c r="W209" s="11"/>
      <c r="X209" s="11"/>
      <c r="Y209" s="11"/>
      <c r="Z209" s="12"/>
      <c r="AA209" s="12"/>
      <c r="AB209" s="12"/>
      <c r="AC209" s="12"/>
      <c r="AD209" s="12"/>
      <c r="AE209" s="12"/>
      <c r="AF209" s="12"/>
    </row>
    <row r="210" ht="46.5" customHeight="1">
      <c r="A210" s="1"/>
      <c r="B210" s="2"/>
      <c r="C210" s="2"/>
      <c r="D210" s="3"/>
      <c r="E210" s="3"/>
      <c r="F210" s="3"/>
      <c r="G210" s="3"/>
      <c r="H210" s="4"/>
      <c r="I210" s="5"/>
      <c r="J210" s="6"/>
      <c r="K210" s="7"/>
      <c r="L210" s="8"/>
      <c r="M210" s="9"/>
      <c r="N210" s="9"/>
      <c r="O210" s="9"/>
      <c r="P210" s="10"/>
      <c r="Q210" s="11"/>
      <c r="R210" s="11"/>
      <c r="S210" s="11"/>
      <c r="T210" s="11"/>
      <c r="U210" s="11"/>
      <c r="V210" s="11"/>
      <c r="W210" s="11"/>
      <c r="X210" s="11"/>
      <c r="Y210" s="11"/>
      <c r="Z210" s="12"/>
      <c r="AA210" s="12"/>
      <c r="AB210" s="12"/>
      <c r="AC210" s="12"/>
      <c r="AD210" s="12"/>
      <c r="AE210" s="12"/>
      <c r="AF210" s="12"/>
    </row>
    <row r="211" ht="46.5" customHeight="1">
      <c r="A211" s="1"/>
      <c r="B211" s="2"/>
      <c r="C211" s="2"/>
      <c r="D211" s="3"/>
      <c r="E211" s="3"/>
      <c r="F211" s="3"/>
      <c r="G211" s="3"/>
      <c r="H211" s="4"/>
      <c r="I211" s="5"/>
      <c r="J211" s="6"/>
      <c r="K211" s="7"/>
      <c r="L211" s="8"/>
      <c r="M211" s="9"/>
      <c r="N211" s="9"/>
      <c r="O211" s="9"/>
      <c r="P211" s="10"/>
      <c r="Q211" s="11"/>
      <c r="R211" s="11"/>
      <c r="S211" s="11"/>
      <c r="T211" s="11"/>
      <c r="U211" s="11"/>
      <c r="V211" s="11"/>
      <c r="W211" s="11"/>
      <c r="X211" s="11"/>
      <c r="Y211" s="11"/>
      <c r="Z211" s="12"/>
      <c r="AA211" s="12"/>
      <c r="AB211" s="12"/>
      <c r="AC211" s="12"/>
      <c r="AD211" s="12"/>
      <c r="AE211" s="12"/>
      <c r="AF211" s="12"/>
    </row>
    <row r="212" ht="46.5" customHeight="1">
      <c r="A212" s="1"/>
      <c r="B212" s="2"/>
      <c r="C212" s="2"/>
      <c r="D212" s="3"/>
      <c r="E212" s="3"/>
      <c r="F212" s="3"/>
      <c r="G212" s="3"/>
      <c r="H212" s="4"/>
      <c r="I212" s="5"/>
      <c r="J212" s="6"/>
      <c r="K212" s="7"/>
      <c r="L212" s="8"/>
      <c r="M212" s="9"/>
      <c r="N212" s="9"/>
      <c r="O212" s="9"/>
      <c r="P212" s="10"/>
      <c r="Q212" s="11"/>
      <c r="R212" s="11"/>
      <c r="S212" s="11"/>
      <c r="T212" s="11"/>
      <c r="U212" s="11"/>
      <c r="V212" s="11"/>
      <c r="W212" s="11"/>
      <c r="X212" s="11"/>
      <c r="Y212" s="11"/>
      <c r="Z212" s="12"/>
      <c r="AA212" s="12"/>
      <c r="AB212" s="12"/>
      <c r="AC212" s="12"/>
      <c r="AD212" s="12"/>
      <c r="AE212" s="12"/>
      <c r="AF212" s="12"/>
    </row>
    <row r="213" ht="46.5" customHeight="1">
      <c r="A213" s="1"/>
      <c r="B213" s="2"/>
      <c r="C213" s="2"/>
      <c r="D213" s="3"/>
      <c r="E213" s="3"/>
      <c r="F213" s="3"/>
      <c r="G213" s="3"/>
      <c r="H213" s="4"/>
      <c r="I213" s="5"/>
      <c r="J213" s="6"/>
      <c r="K213" s="7"/>
      <c r="L213" s="8"/>
      <c r="M213" s="9"/>
      <c r="N213" s="9"/>
      <c r="O213" s="9"/>
      <c r="P213" s="10"/>
      <c r="Q213" s="11"/>
      <c r="R213" s="11"/>
      <c r="S213" s="11"/>
      <c r="T213" s="11"/>
      <c r="U213" s="11"/>
      <c r="V213" s="11"/>
      <c r="W213" s="11"/>
      <c r="X213" s="11"/>
      <c r="Y213" s="11"/>
      <c r="Z213" s="12"/>
      <c r="AA213" s="12"/>
      <c r="AB213" s="12"/>
      <c r="AC213" s="12"/>
      <c r="AD213" s="12"/>
      <c r="AE213" s="12"/>
      <c r="AF213" s="12"/>
    </row>
    <row r="214" ht="46.5" customHeight="1">
      <c r="A214" s="1"/>
      <c r="B214" s="2"/>
      <c r="C214" s="2"/>
      <c r="D214" s="3"/>
      <c r="E214" s="3"/>
      <c r="F214" s="3"/>
      <c r="G214" s="3"/>
      <c r="H214" s="4"/>
      <c r="I214" s="5"/>
      <c r="J214" s="6"/>
      <c r="K214" s="7"/>
      <c r="L214" s="8"/>
      <c r="M214" s="9"/>
      <c r="N214" s="9"/>
      <c r="O214" s="9"/>
      <c r="P214" s="10"/>
      <c r="Q214" s="11"/>
      <c r="R214" s="11"/>
      <c r="S214" s="11"/>
      <c r="T214" s="11"/>
      <c r="U214" s="11"/>
      <c r="V214" s="11"/>
      <c r="W214" s="11"/>
      <c r="X214" s="11"/>
      <c r="Y214" s="11"/>
      <c r="Z214" s="12"/>
      <c r="AA214" s="12"/>
      <c r="AB214" s="12"/>
      <c r="AC214" s="12"/>
      <c r="AD214" s="12"/>
      <c r="AE214" s="12"/>
      <c r="AF214" s="12"/>
    </row>
    <row r="215" ht="46.5" customHeight="1">
      <c r="A215" s="1"/>
      <c r="B215" s="2"/>
      <c r="C215" s="2"/>
      <c r="D215" s="3"/>
      <c r="E215" s="3"/>
      <c r="F215" s="3"/>
      <c r="G215" s="3"/>
      <c r="H215" s="4"/>
      <c r="I215" s="5"/>
      <c r="J215" s="6"/>
      <c r="K215" s="7"/>
      <c r="L215" s="8"/>
      <c r="M215" s="9"/>
      <c r="N215" s="9"/>
      <c r="O215" s="9"/>
      <c r="P215" s="10"/>
      <c r="Q215" s="11"/>
      <c r="R215" s="11"/>
      <c r="S215" s="11"/>
      <c r="T215" s="11"/>
      <c r="U215" s="11"/>
      <c r="V215" s="11"/>
      <c r="W215" s="11"/>
      <c r="X215" s="11"/>
      <c r="Y215" s="11"/>
      <c r="Z215" s="12"/>
      <c r="AA215" s="12"/>
      <c r="AB215" s="12"/>
      <c r="AC215" s="12"/>
      <c r="AD215" s="12"/>
      <c r="AE215" s="12"/>
      <c r="AF215" s="12"/>
    </row>
    <row r="216" ht="46.5" customHeight="1">
      <c r="A216" s="1"/>
      <c r="B216" s="2"/>
      <c r="C216" s="2"/>
      <c r="D216" s="3"/>
      <c r="E216" s="3"/>
      <c r="F216" s="3"/>
      <c r="G216" s="3"/>
      <c r="H216" s="4"/>
      <c r="I216" s="5"/>
      <c r="J216" s="6"/>
      <c r="K216" s="7"/>
      <c r="L216" s="8"/>
      <c r="M216" s="9"/>
      <c r="N216" s="9"/>
      <c r="O216" s="9"/>
      <c r="P216" s="10"/>
      <c r="Q216" s="11"/>
      <c r="R216" s="11"/>
      <c r="S216" s="11"/>
      <c r="T216" s="11"/>
      <c r="U216" s="11"/>
      <c r="V216" s="11"/>
      <c r="W216" s="11"/>
      <c r="X216" s="11"/>
      <c r="Y216" s="11"/>
      <c r="Z216" s="12"/>
      <c r="AA216" s="12"/>
      <c r="AB216" s="12"/>
      <c r="AC216" s="12"/>
      <c r="AD216" s="12"/>
      <c r="AE216" s="12"/>
      <c r="AF216" s="12"/>
    </row>
    <row r="217" ht="46.5" customHeight="1">
      <c r="A217" s="1"/>
      <c r="B217" s="2"/>
      <c r="C217" s="2"/>
      <c r="D217" s="3"/>
      <c r="E217" s="3"/>
      <c r="F217" s="3"/>
      <c r="G217" s="3"/>
      <c r="H217" s="4"/>
      <c r="I217" s="5"/>
      <c r="J217" s="6"/>
      <c r="K217" s="7"/>
      <c r="L217" s="8"/>
      <c r="M217" s="9"/>
      <c r="N217" s="9"/>
      <c r="O217" s="9"/>
      <c r="P217" s="10"/>
      <c r="Q217" s="11"/>
      <c r="R217" s="11"/>
      <c r="S217" s="11"/>
      <c r="T217" s="11"/>
      <c r="U217" s="11"/>
      <c r="V217" s="11"/>
      <c r="W217" s="11"/>
      <c r="X217" s="11"/>
      <c r="Y217" s="11"/>
      <c r="Z217" s="12"/>
      <c r="AA217" s="12"/>
      <c r="AB217" s="12"/>
      <c r="AC217" s="12"/>
      <c r="AD217" s="12"/>
      <c r="AE217" s="12"/>
      <c r="AF217" s="12"/>
    </row>
    <row r="218" ht="46.5" customHeight="1">
      <c r="A218" s="1"/>
      <c r="B218" s="2"/>
      <c r="C218" s="2"/>
      <c r="D218" s="3"/>
      <c r="E218" s="3"/>
      <c r="F218" s="3"/>
      <c r="G218" s="3"/>
      <c r="H218" s="4"/>
      <c r="I218" s="5"/>
      <c r="J218" s="6"/>
      <c r="K218" s="7"/>
      <c r="L218" s="8"/>
      <c r="M218" s="9"/>
      <c r="N218" s="9"/>
      <c r="O218" s="9"/>
      <c r="P218" s="10"/>
      <c r="Q218" s="11"/>
      <c r="R218" s="11"/>
      <c r="S218" s="11"/>
      <c r="T218" s="11"/>
      <c r="U218" s="11"/>
      <c r="V218" s="11"/>
      <c r="W218" s="11"/>
      <c r="X218" s="11"/>
      <c r="Y218" s="11"/>
      <c r="Z218" s="12"/>
      <c r="AA218" s="12"/>
      <c r="AB218" s="12"/>
      <c r="AC218" s="12"/>
      <c r="AD218" s="12"/>
      <c r="AE218" s="12"/>
      <c r="AF218" s="12"/>
    </row>
    <row r="219" ht="46.5" customHeight="1">
      <c r="A219" s="1"/>
      <c r="B219" s="2"/>
      <c r="C219" s="2"/>
      <c r="D219" s="3"/>
      <c r="E219" s="3"/>
      <c r="F219" s="3"/>
      <c r="G219" s="3"/>
      <c r="H219" s="4"/>
      <c r="I219" s="5"/>
      <c r="J219" s="6"/>
      <c r="K219" s="7"/>
      <c r="L219" s="8"/>
      <c r="M219" s="9"/>
      <c r="N219" s="9"/>
      <c r="O219" s="9"/>
      <c r="P219" s="10"/>
      <c r="Q219" s="11"/>
      <c r="R219" s="11"/>
      <c r="S219" s="11"/>
      <c r="T219" s="11"/>
      <c r="U219" s="11"/>
      <c r="V219" s="11"/>
      <c r="W219" s="11"/>
      <c r="X219" s="11"/>
      <c r="Y219" s="11"/>
      <c r="Z219" s="12"/>
      <c r="AA219" s="12"/>
      <c r="AB219" s="12"/>
      <c r="AC219" s="12"/>
      <c r="AD219" s="12"/>
      <c r="AE219" s="12"/>
      <c r="AF219" s="12"/>
    </row>
    <row r="220" ht="46.5" customHeight="1">
      <c r="A220" s="1"/>
      <c r="B220" s="2"/>
      <c r="C220" s="2"/>
      <c r="D220" s="3"/>
      <c r="E220" s="3"/>
      <c r="F220" s="3"/>
      <c r="G220" s="3"/>
      <c r="H220" s="4"/>
      <c r="I220" s="5"/>
      <c r="J220" s="6"/>
      <c r="K220" s="7"/>
      <c r="L220" s="8"/>
      <c r="M220" s="9"/>
      <c r="N220" s="9"/>
      <c r="O220" s="9"/>
      <c r="P220" s="10"/>
      <c r="Q220" s="11"/>
      <c r="R220" s="11"/>
      <c r="S220" s="11"/>
      <c r="T220" s="11"/>
      <c r="U220" s="11"/>
      <c r="V220" s="11"/>
      <c r="W220" s="11"/>
      <c r="X220" s="11"/>
      <c r="Y220" s="11"/>
      <c r="Z220" s="12"/>
      <c r="AA220" s="12"/>
      <c r="AB220" s="12"/>
      <c r="AC220" s="12"/>
      <c r="AD220" s="12"/>
      <c r="AE220" s="12"/>
      <c r="AF220" s="12"/>
    </row>
    <row r="221" ht="46.5" customHeight="1">
      <c r="A221" s="1"/>
      <c r="B221" s="2"/>
      <c r="C221" s="2"/>
      <c r="D221" s="3"/>
      <c r="E221" s="3"/>
      <c r="F221" s="3"/>
      <c r="G221" s="3"/>
      <c r="H221" s="4"/>
      <c r="I221" s="5"/>
      <c r="J221" s="6"/>
      <c r="K221" s="7"/>
      <c r="L221" s="8"/>
      <c r="M221" s="9"/>
      <c r="N221" s="9"/>
      <c r="O221" s="9"/>
      <c r="P221" s="10"/>
      <c r="Q221" s="11"/>
      <c r="R221" s="11"/>
      <c r="S221" s="11"/>
      <c r="T221" s="11"/>
      <c r="U221" s="11"/>
      <c r="V221" s="11"/>
      <c r="W221" s="11"/>
      <c r="X221" s="11"/>
      <c r="Y221" s="11"/>
      <c r="Z221" s="12"/>
      <c r="AA221" s="12"/>
      <c r="AB221" s="12"/>
      <c r="AC221" s="12"/>
      <c r="AD221" s="12"/>
      <c r="AE221" s="12"/>
      <c r="AF221" s="12"/>
    </row>
    <row r="222" ht="46.5" customHeight="1">
      <c r="A222" s="1"/>
      <c r="B222" s="2"/>
      <c r="C222" s="2"/>
      <c r="D222" s="3"/>
      <c r="E222" s="3"/>
      <c r="F222" s="3"/>
      <c r="G222" s="3"/>
      <c r="H222" s="4"/>
      <c r="I222" s="5"/>
      <c r="J222" s="6"/>
      <c r="K222" s="7"/>
      <c r="L222" s="8"/>
      <c r="M222" s="9"/>
      <c r="N222" s="9"/>
      <c r="O222" s="9"/>
      <c r="P222" s="10"/>
      <c r="Q222" s="11"/>
      <c r="R222" s="11"/>
      <c r="S222" s="11"/>
      <c r="T222" s="11"/>
      <c r="U222" s="11"/>
      <c r="V222" s="11"/>
      <c r="W222" s="11"/>
      <c r="X222" s="11"/>
      <c r="Y222" s="11"/>
      <c r="Z222" s="12"/>
      <c r="AA222" s="12"/>
      <c r="AB222" s="12"/>
      <c r="AC222" s="12"/>
      <c r="AD222" s="12"/>
      <c r="AE222" s="12"/>
      <c r="AF222" s="12"/>
    </row>
    <row r="223" ht="46.5" customHeight="1">
      <c r="A223" s="1"/>
      <c r="B223" s="2"/>
      <c r="C223" s="2"/>
      <c r="D223" s="3"/>
      <c r="E223" s="3"/>
      <c r="F223" s="3"/>
      <c r="G223" s="3"/>
      <c r="H223" s="4"/>
      <c r="I223" s="5"/>
      <c r="J223" s="6"/>
      <c r="K223" s="7"/>
      <c r="L223" s="8"/>
      <c r="M223" s="9"/>
      <c r="N223" s="9"/>
      <c r="O223" s="9"/>
      <c r="P223" s="10"/>
      <c r="Q223" s="11"/>
      <c r="R223" s="11"/>
      <c r="S223" s="11"/>
      <c r="T223" s="11"/>
      <c r="U223" s="11"/>
      <c r="V223" s="11"/>
      <c r="W223" s="11"/>
      <c r="X223" s="11"/>
      <c r="Y223" s="11"/>
      <c r="Z223" s="12"/>
      <c r="AA223" s="12"/>
      <c r="AB223" s="12"/>
      <c r="AC223" s="12"/>
      <c r="AD223" s="12"/>
      <c r="AE223" s="12"/>
      <c r="AF223" s="12"/>
    </row>
    <row r="224" ht="46.5" customHeight="1">
      <c r="A224" s="1"/>
      <c r="B224" s="2"/>
      <c r="C224" s="2"/>
      <c r="D224" s="3"/>
      <c r="E224" s="3"/>
      <c r="F224" s="3"/>
      <c r="G224" s="3"/>
      <c r="H224" s="4"/>
      <c r="I224" s="5"/>
      <c r="J224" s="6"/>
      <c r="K224" s="7"/>
      <c r="L224" s="8"/>
      <c r="M224" s="9"/>
      <c r="N224" s="9"/>
      <c r="O224" s="9"/>
      <c r="P224" s="10"/>
      <c r="Q224" s="11"/>
      <c r="R224" s="11"/>
      <c r="S224" s="11"/>
      <c r="T224" s="11"/>
      <c r="U224" s="11"/>
      <c r="V224" s="11"/>
      <c r="W224" s="11"/>
      <c r="X224" s="11"/>
      <c r="Y224" s="11"/>
      <c r="Z224" s="12"/>
      <c r="AA224" s="12"/>
      <c r="AB224" s="12"/>
      <c r="AC224" s="12"/>
      <c r="AD224" s="12"/>
      <c r="AE224" s="12"/>
      <c r="AF224" s="12"/>
    </row>
    <row r="225" ht="46.5" customHeight="1">
      <c r="A225" s="1"/>
      <c r="B225" s="2"/>
      <c r="C225" s="2"/>
      <c r="D225" s="3"/>
      <c r="E225" s="3"/>
      <c r="F225" s="3"/>
      <c r="G225" s="3"/>
      <c r="H225" s="4"/>
      <c r="I225" s="5"/>
      <c r="J225" s="6"/>
      <c r="K225" s="7"/>
      <c r="L225" s="8"/>
      <c r="M225" s="9"/>
      <c r="N225" s="9"/>
      <c r="O225" s="9"/>
      <c r="P225" s="10"/>
      <c r="Q225" s="11"/>
      <c r="R225" s="11"/>
      <c r="S225" s="11"/>
      <c r="T225" s="11"/>
      <c r="U225" s="11"/>
      <c r="V225" s="11"/>
      <c r="W225" s="11"/>
      <c r="X225" s="11"/>
      <c r="Y225" s="11"/>
      <c r="Z225" s="12"/>
      <c r="AA225" s="12"/>
      <c r="AB225" s="12"/>
      <c r="AC225" s="12"/>
      <c r="AD225" s="12"/>
      <c r="AE225" s="12"/>
      <c r="AF225" s="12"/>
    </row>
    <row r="226" ht="46.5" customHeight="1">
      <c r="A226" s="1"/>
      <c r="B226" s="2"/>
      <c r="C226" s="2"/>
      <c r="D226" s="3"/>
      <c r="E226" s="3"/>
      <c r="F226" s="3"/>
      <c r="G226" s="3"/>
      <c r="H226" s="4"/>
      <c r="I226" s="5"/>
      <c r="J226" s="6"/>
      <c r="K226" s="7"/>
      <c r="L226" s="8"/>
      <c r="M226" s="9"/>
      <c r="N226" s="9"/>
      <c r="O226" s="9"/>
      <c r="P226" s="10"/>
      <c r="Q226" s="11"/>
      <c r="R226" s="11"/>
      <c r="S226" s="11"/>
      <c r="T226" s="11"/>
      <c r="U226" s="11"/>
      <c r="V226" s="11"/>
      <c r="W226" s="11"/>
      <c r="X226" s="11"/>
      <c r="Y226" s="11"/>
      <c r="Z226" s="12"/>
      <c r="AA226" s="12"/>
      <c r="AB226" s="12"/>
      <c r="AC226" s="12"/>
      <c r="AD226" s="12"/>
      <c r="AE226" s="12"/>
      <c r="AF226" s="12"/>
    </row>
    <row r="227" ht="46.5" customHeight="1">
      <c r="A227" s="1"/>
      <c r="B227" s="2"/>
      <c r="C227" s="2"/>
      <c r="D227" s="3"/>
      <c r="E227" s="3"/>
      <c r="F227" s="3"/>
      <c r="G227" s="3"/>
      <c r="H227" s="4"/>
      <c r="I227" s="5"/>
      <c r="J227" s="6"/>
      <c r="K227" s="7"/>
      <c r="L227" s="8"/>
      <c r="M227" s="9"/>
      <c r="N227" s="9"/>
      <c r="O227" s="9"/>
      <c r="P227" s="10"/>
      <c r="Q227" s="11"/>
      <c r="R227" s="11"/>
      <c r="S227" s="11"/>
      <c r="T227" s="11"/>
      <c r="U227" s="11"/>
      <c r="V227" s="11"/>
      <c r="W227" s="11"/>
      <c r="X227" s="11"/>
      <c r="Y227" s="11"/>
      <c r="Z227" s="12"/>
      <c r="AA227" s="12"/>
      <c r="AB227" s="12"/>
      <c r="AC227" s="12"/>
      <c r="AD227" s="12"/>
      <c r="AE227" s="12"/>
      <c r="AF227" s="12"/>
    </row>
    <row r="228" ht="46.5" customHeight="1">
      <c r="A228" s="1"/>
      <c r="B228" s="2"/>
      <c r="C228" s="2"/>
      <c r="D228" s="3"/>
      <c r="E228" s="3"/>
      <c r="F228" s="3"/>
      <c r="G228" s="3"/>
      <c r="H228" s="4"/>
      <c r="I228" s="5"/>
      <c r="J228" s="6"/>
      <c r="K228" s="7"/>
      <c r="L228" s="8"/>
      <c r="M228" s="9"/>
      <c r="N228" s="9"/>
      <c r="O228" s="9"/>
      <c r="P228" s="10"/>
      <c r="Q228" s="11"/>
      <c r="R228" s="11"/>
      <c r="S228" s="11"/>
      <c r="T228" s="11"/>
      <c r="U228" s="11"/>
      <c r="V228" s="11"/>
      <c r="W228" s="11"/>
      <c r="X228" s="11"/>
      <c r="Y228" s="11"/>
      <c r="Z228" s="12"/>
      <c r="AA228" s="12"/>
      <c r="AB228" s="12"/>
      <c r="AC228" s="12"/>
      <c r="AD228" s="12"/>
      <c r="AE228" s="12"/>
      <c r="AF228" s="12"/>
    </row>
    <row r="229" ht="46.5" customHeight="1">
      <c r="A229" s="1"/>
      <c r="B229" s="2"/>
      <c r="C229" s="2"/>
      <c r="D229" s="3"/>
      <c r="E229" s="3"/>
      <c r="F229" s="3"/>
      <c r="G229" s="3"/>
      <c r="H229" s="4"/>
      <c r="I229" s="5"/>
      <c r="J229" s="6"/>
      <c r="K229" s="7"/>
      <c r="L229" s="8"/>
      <c r="M229" s="9"/>
      <c r="N229" s="9"/>
      <c r="O229" s="9"/>
      <c r="P229" s="10"/>
      <c r="Q229" s="11"/>
      <c r="R229" s="11"/>
      <c r="S229" s="11"/>
      <c r="T229" s="11"/>
      <c r="U229" s="11"/>
      <c r="V229" s="11"/>
      <c r="W229" s="11"/>
      <c r="X229" s="11"/>
      <c r="Y229" s="11"/>
      <c r="Z229" s="12"/>
      <c r="AA229" s="12"/>
      <c r="AB229" s="12"/>
      <c r="AC229" s="12"/>
      <c r="AD229" s="12"/>
      <c r="AE229" s="12"/>
      <c r="AF229" s="12"/>
    </row>
    <row r="230" ht="46.5" customHeight="1">
      <c r="A230" s="1"/>
      <c r="B230" s="2"/>
      <c r="C230" s="2"/>
      <c r="D230" s="3"/>
      <c r="E230" s="3"/>
      <c r="F230" s="3"/>
      <c r="G230" s="3"/>
      <c r="H230" s="4"/>
      <c r="I230" s="5"/>
      <c r="J230" s="6"/>
      <c r="K230" s="7"/>
      <c r="L230" s="8"/>
      <c r="M230" s="9"/>
      <c r="N230" s="9"/>
      <c r="O230" s="9"/>
      <c r="P230" s="10"/>
      <c r="Q230" s="11"/>
      <c r="R230" s="11"/>
      <c r="S230" s="11"/>
      <c r="T230" s="11"/>
      <c r="U230" s="11"/>
      <c r="V230" s="11"/>
      <c r="W230" s="11"/>
      <c r="X230" s="11"/>
      <c r="Y230" s="11"/>
      <c r="Z230" s="12"/>
      <c r="AA230" s="12"/>
      <c r="AB230" s="12"/>
      <c r="AC230" s="12"/>
      <c r="AD230" s="12"/>
      <c r="AE230" s="12"/>
      <c r="AF230" s="12"/>
    </row>
    <row r="231" ht="46.5" customHeight="1">
      <c r="A231" s="1"/>
      <c r="B231" s="2"/>
      <c r="C231" s="2"/>
      <c r="D231" s="3"/>
      <c r="E231" s="3"/>
      <c r="F231" s="3"/>
      <c r="G231" s="3"/>
      <c r="H231" s="4"/>
      <c r="I231" s="5"/>
      <c r="J231" s="6"/>
      <c r="K231" s="7"/>
      <c r="L231" s="8"/>
      <c r="M231" s="9"/>
      <c r="N231" s="9"/>
      <c r="O231" s="9"/>
      <c r="P231" s="10"/>
      <c r="Q231" s="11"/>
      <c r="R231" s="11"/>
      <c r="S231" s="11"/>
      <c r="T231" s="11"/>
      <c r="U231" s="11"/>
      <c r="V231" s="11"/>
      <c r="W231" s="11"/>
      <c r="X231" s="11"/>
      <c r="Y231" s="11"/>
      <c r="Z231" s="12"/>
      <c r="AA231" s="12"/>
      <c r="AB231" s="12"/>
      <c r="AC231" s="12"/>
      <c r="AD231" s="12"/>
      <c r="AE231" s="12"/>
      <c r="AF231" s="12"/>
    </row>
    <row r="232" ht="46.5" customHeight="1">
      <c r="A232" s="1"/>
      <c r="B232" s="2"/>
      <c r="C232" s="2"/>
      <c r="D232" s="3"/>
      <c r="E232" s="3"/>
      <c r="F232" s="3"/>
      <c r="G232" s="3"/>
      <c r="H232" s="4"/>
      <c r="I232" s="5"/>
      <c r="J232" s="6"/>
      <c r="K232" s="7"/>
      <c r="L232" s="8"/>
      <c r="M232" s="9"/>
      <c r="N232" s="9"/>
      <c r="O232" s="9"/>
      <c r="P232" s="10"/>
      <c r="Q232" s="11"/>
      <c r="R232" s="11"/>
      <c r="S232" s="11"/>
      <c r="T232" s="11"/>
      <c r="U232" s="11"/>
      <c r="V232" s="11"/>
      <c r="W232" s="11"/>
      <c r="X232" s="11"/>
      <c r="Y232" s="11"/>
      <c r="Z232" s="12"/>
      <c r="AA232" s="12"/>
      <c r="AB232" s="12"/>
      <c r="AC232" s="12"/>
      <c r="AD232" s="12"/>
      <c r="AE232" s="12"/>
      <c r="AF232" s="12"/>
    </row>
    <row r="233" ht="46.5" customHeight="1">
      <c r="A233" s="1"/>
      <c r="B233" s="2"/>
      <c r="C233" s="2"/>
      <c r="D233" s="3"/>
      <c r="E233" s="3"/>
      <c r="F233" s="3"/>
      <c r="G233" s="3"/>
      <c r="H233" s="4"/>
      <c r="I233" s="5"/>
      <c r="J233" s="6"/>
      <c r="K233" s="7"/>
      <c r="L233" s="8"/>
      <c r="M233" s="9"/>
      <c r="N233" s="9"/>
      <c r="O233" s="9"/>
      <c r="P233" s="10"/>
      <c r="Q233" s="11"/>
      <c r="R233" s="11"/>
      <c r="S233" s="11"/>
      <c r="T233" s="11"/>
      <c r="U233" s="11"/>
      <c r="V233" s="11"/>
      <c r="W233" s="11"/>
      <c r="X233" s="11"/>
      <c r="Y233" s="11"/>
      <c r="Z233" s="12"/>
      <c r="AA233" s="12"/>
      <c r="AB233" s="12"/>
      <c r="AC233" s="12"/>
      <c r="AD233" s="12"/>
      <c r="AE233" s="12"/>
      <c r="AF233" s="12"/>
    </row>
    <row r="234" ht="46.5" customHeight="1">
      <c r="A234" s="1"/>
      <c r="B234" s="2"/>
      <c r="C234" s="2"/>
      <c r="D234" s="3"/>
      <c r="E234" s="3"/>
      <c r="F234" s="3"/>
      <c r="G234" s="3"/>
      <c r="H234" s="4"/>
      <c r="I234" s="5"/>
      <c r="J234" s="6"/>
      <c r="K234" s="7"/>
      <c r="L234" s="8"/>
      <c r="M234" s="9"/>
      <c r="N234" s="9"/>
      <c r="O234" s="9"/>
      <c r="P234" s="10"/>
      <c r="Q234" s="11"/>
      <c r="R234" s="11"/>
      <c r="S234" s="11"/>
      <c r="T234" s="11"/>
      <c r="U234" s="11"/>
      <c r="V234" s="11"/>
      <c r="W234" s="11"/>
      <c r="X234" s="11"/>
      <c r="Y234" s="11"/>
      <c r="Z234" s="12"/>
      <c r="AA234" s="12"/>
      <c r="AB234" s="12"/>
      <c r="AC234" s="12"/>
      <c r="AD234" s="12"/>
      <c r="AE234" s="12"/>
      <c r="AF234" s="12"/>
    </row>
    <row r="235" ht="46.5" customHeight="1">
      <c r="A235" s="1"/>
      <c r="B235" s="2"/>
      <c r="C235" s="2"/>
      <c r="D235" s="3"/>
      <c r="E235" s="3"/>
      <c r="F235" s="3"/>
      <c r="G235" s="3"/>
      <c r="H235" s="4"/>
      <c r="I235" s="5"/>
      <c r="J235" s="6"/>
      <c r="K235" s="7"/>
      <c r="L235" s="8"/>
      <c r="M235" s="9"/>
      <c r="N235" s="9"/>
      <c r="O235" s="9"/>
      <c r="P235" s="10"/>
      <c r="Q235" s="11"/>
      <c r="R235" s="11"/>
      <c r="S235" s="11"/>
      <c r="T235" s="11"/>
      <c r="U235" s="11"/>
      <c r="V235" s="11"/>
      <c r="W235" s="11"/>
      <c r="X235" s="11"/>
      <c r="Y235" s="11"/>
      <c r="Z235" s="12"/>
      <c r="AA235" s="12"/>
      <c r="AB235" s="12"/>
      <c r="AC235" s="12"/>
      <c r="AD235" s="12"/>
      <c r="AE235" s="12"/>
      <c r="AF235" s="12"/>
    </row>
    <row r="236" ht="46.5" customHeight="1">
      <c r="A236" s="1"/>
      <c r="B236" s="2"/>
      <c r="C236" s="2"/>
      <c r="D236" s="3"/>
      <c r="E236" s="3"/>
      <c r="F236" s="3"/>
      <c r="G236" s="3"/>
      <c r="H236" s="4"/>
      <c r="I236" s="5"/>
      <c r="J236" s="6"/>
      <c r="K236" s="7"/>
      <c r="L236" s="8"/>
      <c r="M236" s="9"/>
      <c r="N236" s="9"/>
      <c r="O236" s="9"/>
      <c r="P236" s="10"/>
      <c r="Q236" s="11"/>
      <c r="R236" s="11"/>
      <c r="S236" s="11"/>
      <c r="T236" s="11"/>
      <c r="U236" s="11"/>
      <c r="V236" s="11"/>
      <c r="W236" s="11"/>
      <c r="X236" s="11"/>
      <c r="Y236" s="11"/>
      <c r="Z236" s="12"/>
      <c r="AA236" s="12"/>
      <c r="AB236" s="12"/>
      <c r="AC236" s="12"/>
      <c r="AD236" s="12"/>
      <c r="AE236" s="12"/>
      <c r="AF236" s="12"/>
    </row>
    <row r="237" ht="46.5" customHeight="1">
      <c r="A237" s="1"/>
      <c r="B237" s="2"/>
      <c r="C237" s="2"/>
      <c r="D237" s="3"/>
      <c r="E237" s="3"/>
      <c r="F237" s="3"/>
      <c r="G237" s="3"/>
      <c r="H237" s="4"/>
      <c r="I237" s="5"/>
      <c r="J237" s="6"/>
      <c r="K237" s="7"/>
      <c r="L237" s="8"/>
      <c r="M237" s="9"/>
      <c r="N237" s="9"/>
      <c r="O237" s="9"/>
      <c r="P237" s="10"/>
      <c r="Q237" s="11"/>
      <c r="R237" s="11"/>
      <c r="S237" s="11"/>
      <c r="T237" s="11"/>
      <c r="U237" s="11"/>
      <c r="V237" s="11"/>
      <c r="W237" s="11"/>
      <c r="X237" s="11"/>
      <c r="Y237" s="11"/>
      <c r="Z237" s="12"/>
      <c r="AA237" s="12"/>
      <c r="AB237" s="12"/>
      <c r="AC237" s="12"/>
      <c r="AD237" s="12"/>
      <c r="AE237" s="12"/>
      <c r="AF237" s="12"/>
    </row>
    <row r="238" ht="46.5" customHeight="1">
      <c r="A238" s="1"/>
      <c r="B238" s="2"/>
      <c r="C238" s="2"/>
      <c r="D238" s="3"/>
      <c r="E238" s="3"/>
      <c r="F238" s="3"/>
      <c r="G238" s="3"/>
      <c r="H238" s="4"/>
      <c r="I238" s="5"/>
      <c r="J238" s="6"/>
      <c r="K238" s="7"/>
      <c r="L238" s="8"/>
      <c r="M238" s="9"/>
      <c r="N238" s="9"/>
      <c r="O238" s="9"/>
      <c r="P238" s="10"/>
      <c r="Q238" s="11"/>
      <c r="R238" s="11"/>
      <c r="S238" s="11"/>
      <c r="T238" s="11"/>
      <c r="U238" s="11"/>
      <c r="V238" s="11"/>
      <c r="W238" s="11"/>
      <c r="X238" s="11"/>
      <c r="Y238" s="11"/>
      <c r="Z238" s="12"/>
      <c r="AA238" s="12"/>
      <c r="AB238" s="12"/>
      <c r="AC238" s="12"/>
      <c r="AD238" s="12"/>
      <c r="AE238" s="12"/>
      <c r="AF238" s="12"/>
    </row>
    <row r="239" ht="46.5" customHeight="1">
      <c r="A239" s="1"/>
      <c r="B239" s="2"/>
      <c r="C239" s="2"/>
      <c r="D239" s="3"/>
      <c r="E239" s="3"/>
      <c r="F239" s="3"/>
      <c r="G239" s="3"/>
      <c r="H239" s="4"/>
      <c r="I239" s="5"/>
      <c r="J239" s="6"/>
      <c r="K239" s="7"/>
      <c r="L239" s="8"/>
      <c r="M239" s="9"/>
      <c r="N239" s="9"/>
      <c r="O239" s="9"/>
      <c r="P239" s="10"/>
      <c r="Q239" s="11"/>
      <c r="R239" s="11"/>
      <c r="S239" s="11"/>
      <c r="T239" s="11"/>
      <c r="U239" s="11"/>
      <c r="V239" s="11"/>
      <c r="W239" s="11"/>
      <c r="X239" s="11"/>
      <c r="Y239" s="11"/>
      <c r="Z239" s="12"/>
      <c r="AA239" s="12"/>
      <c r="AB239" s="12"/>
      <c r="AC239" s="12"/>
      <c r="AD239" s="12"/>
      <c r="AE239" s="12"/>
      <c r="AF239" s="12"/>
    </row>
    <row r="240" ht="46.5" customHeight="1">
      <c r="A240" s="1"/>
      <c r="B240" s="2"/>
      <c r="C240" s="2"/>
      <c r="D240" s="3"/>
      <c r="E240" s="3"/>
      <c r="F240" s="3"/>
      <c r="G240" s="3"/>
      <c r="H240" s="4"/>
      <c r="I240" s="5"/>
      <c r="J240" s="6"/>
      <c r="K240" s="7"/>
      <c r="L240" s="8"/>
      <c r="M240" s="9"/>
      <c r="N240" s="9"/>
      <c r="O240" s="9"/>
      <c r="P240" s="10"/>
      <c r="Q240" s="11"/>
      <c r="R240" s="11"/>
      <c r="S240" s="11"/>
      <c r="T240" s="11"/>
      <c r="U240" s="11"/>
      <c r="V240" s="11"/>
      <c r="W240" s="11"/>
      <c r="X240" s="11"/>
      <c r="Y240" s="11"/>
      <c r="Z240" s="12"/>
      <c r="AA240" s="12"/>
      <c r="AB240" s="12"/>
      <c r="AC240" s="12"/>
      <c r="AD240" s="12"/>
      <c r="AE240" s="12"/>
      <c r="AF240" s="12"/>
    </row>
    <row r="241" ht="46.5" customHeight="1">
      <c r="A241" s="1"/>
      <c r="B241" s="2"/>
      <c r="C241" s="2"/>
      <c r="D241" s="3"/>
      <c r="E241" s="3"/>
      <c r="F241" s="3"/>
      <c r="G241" s="3"/>
      <c r="H241" s="4"/>
      <c r="I241" s="5"/>
      <c r="J241" s="6"/>
      <c r="K241" s="7"/>
      <c r="L241" s="8"/>
      <c r="M241" s="9"/>
      <c r="N241" s="9"/>
      <c r="O241" s="9"/>
      <c r="P241" s="10"/>
      <c r="Q241" s="11"/>
      <c r="R241" s="11"/>
      <c r="S241" s="11"/>
      <c r="T241" s="11"/>
      <c r="U241" s="11"/>
      <c r="V241" s="11"/>
      <c r="W241" s="11"/>
      <c r="X241" s="11"/>
      <c r="Y241" s="11"/>
      <c r="Z241" s="12"/>
      <c r="AA241" s="12"/>
      <c r="AB241" s="12"/>
      <c r="AC241" s="12"/>
      <c r="AD241" s="12"/>
      <c r="AE241" s="12"/>
      <c r="AF241" s="12"/>
    </row>
    <row r="242" ht="46.5" customHeight="1">
      <c r="A242" s="1"/>
      <c r="B242" s="2"/>
      <c r="C242" s="2"/>
      <c r="D242" s="3"/>
      <c r="E242" s="3"/>
      <c r="F242" s="3"/>
      <c r="G242" s="3"/>
      <c r="H242" s="4"/>
      <c r="I242" s="5"/>
      <c r="J242" s="6"/>
      <c r="K242" s="7"/>
      <c r="L242" s="8"/>
      <c r="M242" s="9"/>
      <c r="N242" s="9"/>
      <c r="O242" s="9"/>
      <c r="P242" s="10"/>
      <c r="Q242" s="11"/>
      <c r="R242" s="11"/>
      <c r="S242" s="11"/>
      <c r="T242" s="11"/>
      <c r="U242" s="11"/>
      <c r="V242" s="11"/>
      <c r="W242" s="11"/>
      <c r="X242" s="11"/>
      <c r="Y242" s="11"/>
      <c r="Z242" s="12"/>
      <c r="AA242" s="12"/>
      <c r="AB242" s="12"/>
      <c r="AC242" s="12"/>
      <c r="AD242" s="12"/>
      <c r="AE242" s="12"/>
      <c r="AF242" s="12"/>
    </row>
    <row r="243" ht="46.5" customHeight="1">
      <c r="A243" s="1"/>
      <c r="B243" s="2"/>
      <c r="C243" s="2"/>
      <c r="D243" s="3"/>
      <c r="E243" s="3"/>
      <c r="F243" s="3"/>
      <c r="G243" s="3"/>
      <c r="H243" s="4"/>
      <c r="I243" s="5"/>
      <c r="J243" s="6"/>
      <c r="K243" s="7"/>
      <c r="L243" s="8"/>
      <c r="M243" s="9"/>
      <c r="N243" s="9"/>
      <c r="O243" s="9"/>
      <c r="P243" s="10"/>
      <c r="Q243" s="11"/>
      <c r="R243" s="11"/>
      <c r="S243" s="11"/>
      <c r="T243" s="11"/>
      <c r="U243" s="11"/>
      <c r="V243" s="11"/>
      <c r="W243" s="11"/>
      <c r="X243" s="11"/>
      <c r="Y243" s="11"/>
      <c r="Z243" s="12"/>
      <c r="AA243" s="12"/>
      <c r="AB243" s="12"/>
      <c r="AC243" s="12"/>
      <c r="AD243" s="12"/>
      <c r="AE243" s="12"/>
      <c r="AF243" s="12"/>
    </row>
    <row r="244" ht="46.5" customHeight="1">
      <c r="A244" s="1"/>
      <c r="B244" s="2"/>
      <c r="C244" s="2"/>
      <c r="D244" s="3"/>
      <c r="E244" s="3"/>
      <c r="F244" s="3"/>
      <c r="G244" s="3"/>
      <c r="H244" s="4"/>
      <c r="I244" s="5"/>
      <c r="J244" s="6"/>
      <c r="K244" s="7"/>
      <c r="L244" s="8"/>
      <c r="M244" s="9"/>
      <c r="N244" s="9"/>
      <c r="O244" s="9"/>
      <c r="P244" s="10"/>
      <c r="Q244" s="11"/>
      <c r="R244" s="11"/>
      <c r="S244" s="11"/>
      <c r="T244" s="11"/>
      <c r="U244" s="11"/>
      <c r="V244" s="11"/>
      <c r="W244" s="11"/>
      <c r="X244" s="11"/>
      <c r="Y244" s="11"/>
      <c r="Z244" s="12"/>
      <c r="AA244" s="12"/>
      <c r="AB244" s="12"/>
      <c r="AC244" s="12"/>
      <c r="AD244" s="12"/>
      <c r="AE244" s="12"/>
      <c r="AF244" s="12"/>
    </row>
    <row r="245" ht="46.5" customHeight="1">
      <c r="A245" s="1"/>
      <c r="B245" s="2"/>
      <c r="C245" s="2"/>
      <c r="D245" s="3"/>
      <c r="E245" s="3"/>
      <c r="F245" s="3"/>
      <c r="G245" s="3"/>
      <c r="H245" s="4"/>
      <c r="I245" s="5"/>
      <c r="J245" s="6"/>
      <c r="K245" s="7"/>
      <c r="L245" s="8"/>
      <c r="M245" s="9"/>
      <c r="N245" s="9"/>
      <c r="O245" s="9"/>
      <c r="P245" s="10"/>
      <c r="Q245" s="11"/>
      <c r="R245" s="11"/>
      <c r="S245" s="11"/>
      <c r="T245" s="11"/>
      <c r="U245" s="11"/>
      <c r="V245" s="11"/>
      <c r="W245" s="11"/>
      <c r="X245" s="11"/>
      <c r="Y245" s="11"/>
      <c r="Z245" s="12"/>
      <c r="AA245" s="12"/>
      <c r="AB245" s="12"/>
      <c r="AC245" s="12"/>
      <c r="AD245" s="12"/>
      <c r="AE245" s="12"/>
      <c r="AF245" s="12"/>
    </row>
    <row r="246" ht="46.5" customHeight="1">
      <c r="A246" s="1"/>
      <c r="B246" s="2"/>
      <c r="C246" s="2"/>
      <c r="D246" s="3"/>
      <c r="E246" s="3"/>
      <c r="F246" s="3"/>
      <c r="G246" s="3"/>
      <c r="H246" s="4"/>
      <c r="I246" s="5"/>
      <c r="J246" s="6"/>
      <c r="K246" s="7"/>
      <c r="L246" s="8"/>
      <c r="M246" s="9"/>
      <c r="N246" s="9"/>
      <c r="O246" s="9"/>
      <c r="P246" s="10"/>
      <c r="Q246" s="11"/>
      <c r="R246" s="11"/>
      <c r="S246" s="11"/>
      <c r="T246" s="11"/>
      <c r="U246" s="11"/>
      <c r="V246" s="11"/>
      <c r="W246" s="11"/>
      <c r="X246" s="11"/>
      <c r="Y246" s="11"/>
      <c r="Z246" s="12"/>
      <c r="AA246" s="12"/>
      <c r="AB246" s="12"/>
      <c r="AC246" s="12"/>
      <c r="AD246" s="12"/>
      <c r="AE246" s="12"/>
      <c r="AF246" s="12"/>
    </row>
    <row r="247" ht="46.5" customHeight="1">
      <c r="A247" s="1"/>
      <c r="B247" s="2"/>
      <c r="C247" s="2"/>
      <c r="D247" s="3"/>
      <c r="E247" s="3"/>
      <c r="F247" s="3"/>
      <c r="G247" s="3"/>
      <c r="H247" s="4"/>
      <c r="I247" s="5"/>
      <c r="J247" s="6"/>
      <c r="K247" s="7"/>
      <c r="L247" s="8"/>
      <c r="M247" s="9"/>
      <c r="N247" s="9"/>
      <c r="O247" s="9"/>
      <c r="P247" s="10"/>
      <c r="Q247" s="11"/>
      <c r="R247" s="11"/>
      <c r="S247" s="11"/>
      <c r="T247" s="11"/>
      <c r="U247" s="11"/>
      <c r="V247" s="11"/>
      <c r="W247" s="11"/>
      <c r="X247" s="11"/>
      <c r="Y247" s="11"/>
      <c r="Z247" s="12"/>
      <c r="AA247" s="12"/>
      <c r="AB247" s="12"/>
      <c r="AC247" s="12"/>
      <c r="AD247" s="12"/>
      <c r="AE247" s="12"/>
      <c r="AF247" s="12"/>
    </row>
    <row r="248" ht="46.5" customHeight="1">
      <c r="A248" s="1"/>
      <c r="B248" s="2"/>
      <c r="C248" s="2"/>
      <c r="D248" s="3"/>
      <c r="E248" s="3"/>
      <c r="F248" s="3"/>
      <c r="G248" s="3"/>
      <c r="H248" s="4"/>
      <c r="I248" s="5"/>
      <c r="J248" s="6"/>
      <c r="K248" s="7"/>
      <c r="L248" s="8"/>
      <c r="M248" s="9"/>
      <c r="N248" s="9"/>
      <c r="O248" s="9"/>
      <c r="P248" s="10"/>
      <c r="Q248" s="11"/>
      <c r="R248" s="11"/>
      <c r="S248" s="11"/>
      <c r="T248" s="11"/>
      <c r="U248" s="11"/>
      <c r="V248" s="11"/>
      <c r="W248" s="11"/>
      <c r="X248" s="11"/>
      <c r="Y248" s="11"/>
      <c r="Z248" s="12"/>
      <c r="AA248" s="12"/>
      <c r="AB248" s="12"/>
      <c r="AC248" s="12"/>
      <c r="AD248" s="12"/>
      <c r="AE248" s="12"/>
      <c r="AF248" s="12"/>
    </row>
    <row r="249" ht="46.5" customHeight="1">
      <c r="A249" s="1"/>
      <c r="B249" s="2"/>
      <c r="C249" s="2"/>
      <c r="D249" s="3"/>
      <c r="E249" s="3"/>
      <c r="F249" s="3"/>
      <c r="G249" s="3"/>
      <c r="H249" s="4"/>
      <c r="I249" s="5"/>
      <c r="J249" s="6"/>
      <c r="K249" s="7"/>
      <c r="L249" s="8"/>
      <c r="M249" s="9"/>
      <c r="N249" s="9"/>
      <c r="O249" s="9"/>
      <c r="P249" s="10"/>
      <c r="Q249" s="11"/>
      <c r="R249" s="11"/>
      <c r="S249" s="11"/>
      <c r="T249" s="11"/>
      <c r="U249" s="11"/>
      <c r="V249" s="11"/>
      <c r="W249" s="11"/>
      <c r="X249" s="11"/>
      <c r="Y249" s="11"/>
      <c r="Z249" s="12"/>
      <c r="AA249" s="12"/>
      <c r="AB249" s="12"/>
      <c r="AC249" s="12"/>
      <c r="AD249" s="12"/>
      <c r="AE249" s="12"/>
      <c r="AF249" s="12"/>
    </row>
    <row r="250" ht="46.5" customHeight="1">
      <c r="A250" s="1"/>
      <c r="B250" s="2"/>
      <c r="C250" s="2"/>
      <c r="D250" s="3"/>
      <c r="E250" s="3"/>
      <c r="F250" s="3"/>
      <c r="G250" s="3"/>
      <c r="H250" s="4"/>
      <c r="I250" s="5"/>
      <c r="J250" s="6"/>
      <c r="K250" s="7"/>
      <c r="L250" s="8"/>
      <c r="M250" s="9"/>
      <c r="N250" s="9"/>
      <c r="O250" s="9"/>
      <c r="P250" s="10"/>
      <c r="Q250" s="11"/>
      <c r="R250" s="11"/>
      <c r="S250" s="11"/>
      <c r="T250" s="11"/>
      <c r="U250" s="11"/>
      <c r="V250" s="11"/>
      <c r="W250" s="11"/>
      <c r="X250" s="11"/>
      <c r="Y250" s="11"/>
      <c r="Z250" s="12"/>
      <c r="AA250" s="12"/>
      <c r="AB250" s="12"/>
      <c r="AC250" s="12"/>
      <c r="AD250" s="12"/>
      <c r="AE250" s="12"/>
      <c r="AF250" s="12"/>
    </row>
    <row r="251" ht="46.5" customHeight="1">
      <c r="A251" s="1"/>
      <c r="B251" s="2"/>
      <c r="C251" s="2"/>
      <c r="D251" s="3"/>
      <c r="E251" s="3"/>
      <c r="F251" s="3"/>
      <c r="G251" s="3"/>
      <c r="H251" s="4"/>
      <c r="I251" s="5"/>
      <c r="J251" s="6"/>
      <c r="K251" s="7"/>
      <c r="L251" s="8"/>
      <c r="M251" s="9"/>
      <c r="N251" s="9"/>
      <c r="O251" s="9"/>
      <c r="P251" s="10"/>
      <c r="Q251" s="11"/>
      <c r="R251" s="11"/>
      <c r="S251" s="11"/>
      <c r="T251" s="11"/>
      <c r="U251" s="11"/>
      <c r="V251" s="11"/>
      <c r="W251" s="11"/>
      <c r="X251" s="11"/>
      <c r="Y251" s="11"/>
      <c r="Z251" s="12"/>
      <c r="AA251" s="12"/>
      <c r="AB251" s="12"/>
      <c r="AC251" s="12"/>
      <c r="AD251" s="12"/>
      <c r="AE251" s="12"/>
      <c r="AF251" s="12"/>
    </row>
    <row r="252" ht="46.5" customHeight="1">
      <c r="A252" s="1"/>
      <c r="B252" s="2"/>
      <c r="C252" s="2"/>
      <c r="D252" s="3"/>
      <c r="E252" s="3"/>
      <c r="F252" s="3"/>
      <c r="G252" s="3"/>
      <c r="H252" s="4"/>
      <c r="I252" s="5"/>
      <c r="J252" s="6"/>
      <c r="K252" s="7"/>
      <c r="L252" s="8"/>
      <c r="M252" s="9"/>
      <c r="N252" s="9"/>
      <c r="O252" s="9"/>
      <c r="P252" s="10"/>
      <c r="Q252" s="11"/>
      <c r="R252" s="11"/>
      <c r="S252" s="11"/>
      <c r="T252" s="11"/>
      <c r="U252" s="11"/>
      <c r="V252" s="11"/>
      <c r="W252" s="11"/>
      <c r="X252" s="11"/>
      <c r="Y252" s="11"/>
      <c r="Z252" s="12"/>
      <c r="AA252" s="12"/>
      <c r="AB252" s="12"/>
      <c r="AC252" s="12"/>
      <c r="AD252" s="12"/>
      <c r="AE252" s="12"/>
      <c r="AF252" s="12"/>
    </row>
    <row r="253" ht="46.5" customHeight="1">
      <c r="A253" s="1"/>
      <c r="B253" s="2"/>
      <c r="C253" s="2"/>
      <c r="D253" s="3"/>
      <c r="E253" s="3"/>
      <c r="F253" s="3"/>
      <c r="G253" s="3"/>
      <c r="H253" s="4"/>
      <c r="I253" s="5"/>
      <c r="J253" s="6"/>
      <c r="K253" s="7"/>
      <c r="L253" s="8"/>
      <c r="M253" s="9"/>
      <c r="N253" s="9"/>
      <c r="O253" s="9"/>
      <c r="P253" s="10"/>
      <c r="Q253" s="11"/>
      <c r="R253" s="11"/>
      <c r="S253" s="11"/>
      <c r="T253" s="11"/>
      <c r="U253" s="11"/>
      <c r="V253" s="11"/>
      <c r="W253" s="11"/>
      <c r="X253" s="11"/>
      <c r="Y253" s="11"/>
      <c r="Z253" s="12"/>
      <c r="AA253" s="12"/>
      <c r="AB253" s="12"/>
      <c r="AC253" s="12"/>
      <c r="AD253" s="12"/>
      <c r="AE253" s="12"/>
      <c r="AF253" s="12"/>
    </row>
    <row r="254" ht="46.5" customHeight="1">
      <c r="A254" s="1"/>
      <c r="B254" s="2"/>
      <c r="C254" s="2"/>
      <c r="D254" s="3"/>
      <c r="E254" s="3"/>
      <c r="F254" s="3"/>
      <c r="G254" s="3"/>
      <c r="H254" s="4"/>
      <c r="I254" s="5"/>
      <c r="J254" s="6"/>
      <c r="K254" s="7"/>
      <c r="L254" s="8"/>
      <c r="M254" s="9"/>
      <c r="N254" s="9"/>
      <c r="O254" s="9"/>
      <c r="P254" s="10"/>
      <c r="Q254" s="11"/>
      <c r="R254" s="11"/>
      <c r="S254" s="11"/>
      <c r="T254" s="11"/>
      <c r="U254" s="11"/>
      <c r="V254" s="11"/>
      <c r="W254" s="11"/>
      <c r="X254" s="11"/>
      <c r="Y254" s="11"/>
      <c r="Z254" s="12"/>
      <c r="AA254" s="12"/>
      <c r="AB254" s="12"/>
      <c r="AC254" s="12"/>
      <c r="AD254" s="12"/>
      <c r="AE254" s="12"/>
      <c r="AF254" s="12"/>
    </row>
    <row r="255" ht="46.5" customHeight="1">
      <c r="A255" s="1"/>
      <c r="B255" s="2"/>
      <c r="C255" s="2"/>
      <c r="D255" s="3"/>
      <c r="E255" s="3"/>
      <c r="F255" s="3"/>
      <c r="G255" s="3"/>
      <c r="H255" s="4"/>
      <c r="I255" s="5"/>
      <c r="J255" s="6"/>
      <c r="K255" s="7"/>
      <c r="L255" s="8"/>
      <c r="M255" s="9"/>
      <c r="N255" s="9"/>
      <c r="O255" s="9"/>
      <c r="P255" s="10"/>
      <c r="Q255" s="11"/>
      <c r="R255" s="11"/>
      <c r="S255" s="11"/>
      <c r="T255" s="11"/>
      <c r="U255" s="11"/>
      <c r="V255" s="11"/>
      <c r="W255" s="11"/>
      <c r="X255" s="11"/>
      <c r="Y255" s="11"/>
      <c r="Z255" s="12"/>
      <c r="AA255" s="12"/>
      <c r="AB255" s="12"/>
      <c r="AC255" s="12"/>
      <c r="AD255" s="12"/>
      <c r="AE255" s="12"/>
      <c r="AF255" s="12"/>
    </row>
    <row r="256" ht="46.5" customHeight="1">
      <c r="A256" s="1"/>
      <c r="B256" s="2"/>
      <c r="C256" s="2"/>
      <c r="D256" s="3"/>
      <c r="E256" s="3"/>
      <c r="F256" s="3"/>
      <c r="G256" s="3"/>
      <c r="H256" s="4"/>
      <c r="I256" s="5"/>
      <c r="J256" s="6"/>
      <c r="K256" s="7"/>
      <c r="L256" s="8"/>
      <c r="M256" s="9"/>
      <c r="N256" s="9"/>
      <c r="O256" s="9"/>
      <c r="P256" s="10"/>
      <c r="Q256" s="11"/>
      <c r="R256" s="11"/>
      <c r="S256" s="11"/>
      <c r="T256" s="11"/>
      <c r="U256" s="11"/>
      <c r="V256" s="11"/>
      <c r="W256" s="11"/>
      <c r="X256" s="11"/>
      <c r="Y256" s="11"/>
      <c r="Z256" s="12"/>
      <c r="AA256" s="12"/>
      <c r="AB256" s="12"/>
      <c r="AC256" s="12"/>
      <c r="AD256" s="12"/>
      <c r="AE256" s="12"/>
      <c r="AF256" s="12"/>
    </row>
    <row r="257" ht="46.5" customHeight="1">
      <c r="A257" s="1"/>
      <c r="B257" s="2"/>
      <c r="C257" s="2"/>
      <c r="D257" s="3"/>
      <c r="E257" s="3"/>
      <c r="F257" s="3"/>
      <c r="G257" s="3"/>
      <c r="H257" s="4"/>
      <c r="I257" s="5"/>
      <c r="J257" s="6"/>
      <c r="K257" s="7"/>
      <c r="L257" s="8"/>
      <c r="M257" s="9"/>
      <c r="N257" s="9"/>
      <c r="O257" s="9"/>
      <c r="P257" s="10"/>
      <c r="Q257" s="11"/>
      <c r="R257" s="11"/>
      <c r="S257" s="11"/>
      <c r="T257" s="11"/>
      <c r="U257" s="11"/>
      <c r="V257" s="11"/>
      <c r="W257" s="11"/>
      <c r="X257" s="11"/>
      <c r="Y257" s="11"/>
      <c r="Z257" s="12"/>
      <c r="AA257" s="12"/>
      <c r="AB257" s="12"/>
      <c r="AC257" s="12"/>
      <c r="AD257" s="12"/>
      <c r="AE257" s="12"/>
      <c r="AF257" s="12"/>
    </row>
    <row r="258" ht="46.5" customHeight="1">
      <c r="A258" s="1"/>
      <c r="B258" s="2"/>
      <c r="C258" s="2"/>
      <c r="D258" s="3"/>
      <c r="E258" s="3"/>
      <c r="F258" s="3"/>
      <c r="G258" s="3"/>
      <c r="H258" s="4"/>
      <c r="I258" s="5"/>
      <c r="J258" s="6"/>
      <c r="K258" s="7"/>
      <c r="L258" s="8"/>
      <c r="M258" s="9"/>
      <c r="N258" s="9"/>
      <c r="O258" s="9"/>
      <c r="P258" s="10"/>
      <c r="Q258" s="11"/>
      <c r="R258" s="11"/>
      <c r="S258" s="11"/>
      <c r="T258" s="11"/>
      <c r="U258" s="11"/>
      <c r="V258" s="11"/>
      <c r="W258" s="11"/>
      <c r="X258" s="11"/>
      <c r="Y258" s="11"/>
      <c r="Z258" s="12"/>
      <c r="AA258" s="12"/>
      <c r="AB258" s="12"/>
      <c r="AC258" s="12"/>
      <c r="AD258" s="12"/>
      <c r="AE258" s="12"/>
      <c r="AF258" s="12"/>
    </row>
    <row r="259" ht="46.5" customHeight="1">
      <c r="A259" s="1"/>
      <c r="B259" s="2"/>
      <c r="C259" s="2"/>
      <c r="D259" s="3"/>
      <c r="E259" s="3"/>
      <c r="F259" s="3"/>
      <c r="G259" s="3"/>
      <c r="H259" s="4"/>
      <c r="I259" s="5"/>
      <c r="J259" s="6"/>
      <c r="K259" s="7"/>
      <c r="L259" s="8"/>
      <c r="M259" s="9"/>
      <c r="N259" s="9"/>
      <c r="O259" s="9"/>
      <c r="P259" s="10"/>
      <c r="Q259" s="11"/>
      <c r="R259" s="11"/>
      <c r="S259" s="11"/>
      <c r="T259" s="11"/>
      <c r="U259" s="11"/>
      <c r="V259" s="11"/>
      <c r="W259" s="11"/>
      <c r="X259" s="11"/>
      <c r="Y259" s="11"/>
      <c r="Z259" s="12"/>
      <c r="AA259" s="12"/>
      <c r="AB259" s="12"/>
      <c r="AC259" s="12"/>
      <c r="AD259" s="12"/>
      <c r="AE259" s="12"/>
      <c r="AF259" s="12"/>
    </row>
    <row r="260" ht="46.5" customHeight="1">
      <c r="A260" s="1"/>
      <c r="B260" s="2"/>
      <c r="C260" s="2"/>
      <c r="D260" s="3"/>
      <c r="E260" s="3"/>
      <c r="F260" s="3"/>
      <c r="G260" s="3"/>
      <c r="H260" s="4"/>
      <c r="I260" s="5"/>
      <c r="J260" s="6"/>
      <c r="K260" s="7"/>
      <c r="L260" s="8"/>
      <c r="M260" s="9"/>
      <c r="N260" s="9"/>
      <c r="O260" s="9"/>
      <c r="P260" s="10"/>
      <c r="Q260" s="11"/>
      <c r="R260" s="11"/>
      <c r="S260" s="11"/>
      <c r="T260" s="11"/>
      <c r="U260" s="11"/>
      <c r="V260" s="11"/>
      <c r="W260" s="11"/>
      <c r="X260" s="11"/>
      <c r="Y260" s="11"/>
      <c r="Z260" s="12"/>
      <c r="AA260" s="12"/>
      <c r="AB260" s="12"/>
      <c r="AC260" s="12"/>
      <c r="AD260" s="12"/>
      <c r="AE260" s="12"/>
      <c r="AF260" s="12"/>
    </row>
    <row r="261" ht="46.5" customHeight="1">
      <c r="A261" s="1"/>
      <c r="B261" s="2"/>
      <c r="C261" s="2"/>
      <c r="D261" s="3"/>
      <c r="E261" s="3"/>
      <c r="F261" s="3"/>
      <c r="G261" s="3"/>
      <c r="H261" s="4"/>
      <c r="I261" s="5"/>
      <c r="J261" s="6"/>
      <c r="K261" s="7"/>
      <c r="L261" s="8"/>
      <c r="M261" s="9"/>
      <c r="N261" s="9"/>
      <c r="O261" s="9"/>
      <c r="P261" s="10"/>
      <c r="Q261" s="11"/>
      <c r="R261" s="11"/>
      <c r="S261" s="11"/>
      <c r="T261" s="11"/>
      <c r="U261" s="11"/>
      <c r="V261" s="11"/>
      <c r="W261" s="11"/>
      <c r="X261" s="11"/>
      <c r="Y261" s="11"/>
      <c r="Z261" s="12"/>
      <c r="AA261" s="12"/>
      <c r="AB261" s="12"/>
      <c r="AC261" s="12"/>
      <c r="AD261" s="12"/>
      <c r="AE261" s="12"/>
      <c r="AF261" s="12"/>
    </row>
    <row r="262" ht="46.5" customHeight="1">
      <c r="A262" s="1"/>
      <c r="B262" s="2"/>
      <c r="C262" s="2"/>
      <c r="D262" s="3"/>
      <c r="E262" s="3"/>
      <c r="F262" s="3"/>
      <c r="G262" s="3"/>
      <c r="H262" s="4"/>
      <c r="I262" s="5"/>
      <c r="J262" s="6"/>
      <c r="K262" s="7"/>
      <c r="L262" s="8"/>
      <c r="M262" s="9"/>
      <c r="N262" s="9"/>
      <c r="O262" s="9"/>
      <c r="P262" s="10"/>
      <c r="Q262" s="11"/>
      <c r="R262" s="11"/>
      <c r="S262" s="11"/>
      <c r="T262" s="11"/>
      <c r="U262" s="11"/>
      <c r="V262" s="11"/>
      <c r="W262" s="11"/>
      <c r="X262" s="11"/>
      <c r="Y262" s="11"/>
      <c r="Z262" s="12"/>
      <c r="AA262" s="12"/>
      <c r="AB262" s="12"/>
      <c r="AC262" s="12"/>
      <c r="AD262" s="12"/>
      <c r="AE262" s="12"/>
      <c r="AF262" s="12"/>
    </row>
    <row r="263" ht="46.5" customHeight="1">
      <c r="A263" s="1"/>
      <c r="B263" s="2"/>
      <c r="C263" s="2"/>
      <c r="D263" s="3"/>
      <c r="E263" s="3"/>
      <c r="F263" s="3"/>
      <c r="G263" s="3"/>
      <c r="H263" s="4"/>
      <c r="I263" s="5"/>
      <c r="J263" s="6"/>
      <c r="K263" s="7"/>
      <c r="L263" s="8"/>
      <c r="M263" s="9"/>
      <c r="N263" s="9"/>
      <c r="O263" s="9"/>
      <c r="P263" s="10"/>
      <c r="Q263" s="11"/>
      <c r="R263" s="11"/>
      <c r="S263" s="11"/>
      <c r="T263" s="11"/>
      <c r="U263" s="11"/>
      <c r="V263" s="11"/>
      <c r="W263" s="11"/>
      <c r="X263" s="11"/>
      <c r="Y263" s="11"/>
      <c r="Z263" s="12"/>
      <c r="AA263" s="12"/>
      <c r="AB263" s="12"/>
      <c r="AC263" s="12"/>
      <c r="AD263" s="12"/>
      <c r="AE263" s="12"/>
      <c r="AF263" s="12"/>
    </row>
    <row r="264" ht="46.5" customHeight="1">
      <c r="A264" s="1"/>
      <c r="B264" s="2"/>
      <c r="C264" s="2"/>
      <c r="D264" s="3"/>
      <c r="E264" s="3"/>
      <c r="F264" s="3"/>
      <c r="G264" s="3"/>
      <c r="H264" s="4"/>
      <c r="I264" s="5"/>
      <c r="J264" s="6"/>
      <c r="K264" s="7"/>
      <c r="L264" s="8"/>
      <c r="M264" s="9"/>
      <c r="N264" s="9"/>
      <c r="O264" s="9"/>
      <c r="P264" s="10"/>
      <c r="Q264" s="11"/>
      <c r="R264" s="11"/>
      <c r="S264" s="11"/>
      <c r="T264" s="11"/>
      <c r="U264" s="11"/>
      <c r="V264" s="11"/>
      <c r="W264" s="11"/>
      <c r="X264" s="11"/>
      <c r="Y264" s="11"/>
      <c r="Z264" s="12"/>
      <c r="AA264" s="12"/>
      <c r="AB264" s="12"/>
      <c r="AC264" s="12"/>
      <c r="AD264" s="12"/>
      <c r="AE264" s="12"/>
      <c r="AF264" s="12"/>
    </row>
    <row r="265" ht="46.5" customHeight="1">
      <c r="A265" s="1"/>
      <c r="B265" s="2"/>
      <c r="C265" s="2"/>
      <c r="D265" s="3"/>
      <c r="E265" s="3"/>
      <c r="F265" s="3"/>
      <c r="G265" s="3"/>
      <c r="H265" s="4"/>
      <c r="I265" s="5"/>
      <c r="J265" s="6"/>
      <c r="K265" s="7"/>
      <c r="L265" s="8"/>
      <c r="M265" s="9"/>
      <c r="N265" s="9"/>
      <c r="O265" s="9"/>
      <c r="P265" s="10"/>
      <c r="Q265" s="11"/>
      <c r="R265" s="11"/>
      <c r="S265" s="11"/>
      <c r="T265" s="11"/>
      <c r="U265" s="11"/>
      <c r="V265" s="11"/>
      <c r="W265" s="11"/>
      <c r="X265" s="11"/>
      <c r="Y265" s="11"/>
      <c r="Z265" s="12"/>
      <c r="AA265" s="12"/>
      <c r="AB265" s="12"/>
      <c r="AC265" s="12"/>
      <c r="AD265" s="12"/>
      <c r="AE265" s="12"/>
      <c r="AF265" s="12"/>
    </row>
    <row r="266" ht="46.5" customHeight="1">
      <c r="A266" s="1"/>
      <c r="B266" s="2"/>
      <c r="C266" s="2"/>
      <c r="D266" s="3"/>
      <c r="E266" s="3"/>
      <c r="F266" s="3"/>
      <c r="G266" s="3"/>
      <c r="H266" s="4"/>
      <c r="I266" s="5"/>
      <c r="J266" s="6"/>
      <c r="K266" s="7"/>
      <c r="L266" s="8"/>
      <c r="M266" s="9"/>
      <c r="N266" s="9"/>
      <c r="O266" s="9"/>
      <c r="P266" s="10"/>
      <c r="Q266" s="11"/>
      <c r="R266" s="11"/>
      <c r="S266" s="11"/>
      <c r="T266" s="11"/>
      <c r="U266" s="11"/>
      <c r="V266" s="11"/>
      <c r="W266" s="11"/>
      <c r="X266" s="11"/>
      <c r="Y266" s="11"/>
      <c r="Z266" s="12"/>
      <c r="AA266" s="12"/>
      <c r="AB266" s="12"/>
      <c r="AC266" s="12"/>
      <c r="AD266" s="12"/>
      <c r="AE266" s="12"/>
      <c r="AF266" s="12"/>
    </row>
    <row r="267" ht="46.5" customHeight="1">
      <c r="A267" s="1"/>
      <c r="B267" s="2"/>
      <c r="C267" s="2"/>
      <c r="D267" s="3"/>
      <c r="E267" s="3"/>
      <c r="F267" s="3"/>
      <c r="G267" s="3"/>
      <c r="H267" s="4"/>
      <c r="I267" s="5"/>
      <c r="J267" s="6"/>
      <c r="K267" s="7"/>
      <c r="L267" s="8"/>
      <c r="M267" s="9"/>
      <c r="N267" s="9"/>
      <c r="O267" s="9"/>
      <c r="P267" s="10"/>
      <c r="Q267" s="11"/>
      <c r="R267" s="11"/>
      <c r="S267" s="11"/>
      <c r="T267" s="11"/>
      <c r="U267" s="11"/>
      <c r="V267" s="11"/>
      <c r="W267" s="11"/>
      <c r="X267" s="11"/>
      <c r="Y267" s="11"/>
      <c r="Z267" s="12"/>
      <c r="AA267" s="12"/>
      <c r="AB267" s="12"/>
      <c r="AC267" s="12"/>
      <c r="AD267" s="12"/>
      <c r="AE267" s="12"/>
      <c r="AF267" s="12"/>
    </row>
    <row r="268" ht="46.5" customHeight="1">
      <c r="A268" s="1"/>
      <c r="B268" s="2"/>
      <c r="C268" s="2"/>
      <c r="D268" s="3"/>
      <c r="E268" s="3"/>
      <c r="F268" s="3"/>
      <c r="G268" s="3"/>
      <c r="H268" s="4"/>
      <c r="I268" s="5"/>
      <c r="J268" s="6"/>
      <c r="K268" s="7"/>
      <c r="L268" s="8"/>
      <c r="M268" s="9"/>
      <c r="N268" s="9"/>
      <c r="O268" s="9"/>
      <c r="P268" s="10"/>
      <c r="Q268" s="11"/>
      <c r="R268" s="11"/>
      <c r="S268" s="11"/>
      <c r="T268" s="11"/>
      <c r="U268" s="11"/>
      <c r="V268" s="11"/>
      <c r="W268" s="11"/>
      <c r="X268" s="11"/>
      <c r="Y268" s="11"/>
      <c r="Z268" s="12"/>
      <c r="AA268" s="12"/>
      <c r="AB268" s="12"/>
      <c r="AC268" s="12"/>
      <c r="AD268" s="12"/>
      <c r="AE268" s="12"/>
      <c r="AF268" s="12"/>
    </row>
    <row r="269" ht="46.5" customHeight="1">
      <c r="A269" s="1"/>
      <c r="B269" s="2"/>
      <c r="C269" s="2"/>
      <c r="D269" s="3"/>
      <c r="E269" s="3"/>
      <c r="F269" s="3"/>
      <c r="G269" s="3"/>
      <c r="H269" s="4"/>
      <c r="I269" s="5"/>
      <c r="J269" s="6"/>
      <c r="K269" s="7"/>
      <c r="L269" s="8"/>
      <c r="M269" s="9"/>
      <c r="N269" s="9"/>
      <c r="O269" s="9"/>
      <c r="P269" s="10"/>
      <c r="Q269" s="11"/>
      <c r="R269" s="11"/>
      <c r="S269" s="11"/>
      <c r="T269" s="11"/>
      <c r="U269" s="11"/>
      <c r="V269" s="11"/>
      <c r="W269" s="11"/>
      <c r="X269" s="11"/>
      <c r="Y269" s="11"/>
      <c r="Z269" s="12"/>
      <c r="AA269" s="12"/>
      <c r="AB269" s="12"/>
      <c r="AC269" s="12"/>
      <c r="AD269" s="12"/>
      <c r="AE269" s="12"/>
      <c r="AF269" s="12"/>
    </row>
    <row r="270" ht="46.5" customHeight="1">
      <c r="A270" s="1"/>
      <c r="B270" s="2"/>
      <c r="C270" s="2"/>
      <c r="D270" s="3"/>
      <c r="E270" s="3"/>
      <c r="F270" s="3"/>
      <c r="G270" s="3"/>
      <c r="H270" s="4"/>
      <c r="I270" s="5"/>
      <c r="J270" s="6"/>
      <c r="K270" s="7"/>
      <c r="L270" s="8"/>
      <c r="M270" s="9"/>
      <c r="N270" s="9"/>
      <c r="O270" s="9"/>
      <c r="P270" s="10"/>
      <c r="Q270" s="11"/>
      <c r="R270" s="11"/>
      <c r="S270" s="11"/>
      <c r="T270" s="11"/>
      <c r="U270" s="11"/>
      <c r="V270" s="11"/>
      <c r="W270" s="11"/>
      <c r="X270" s="11"/>
      <c r="Y270" s="11"/>
      <c r="Z270" s="12"/>
      <c r="AA270" s="12"/>
      <c r="AB270" s="12"/>
      <c r="AC270" s="12"/>
      <c r="AD270" s="12"/>
      <c r="AE270" s="12"/>
      <c r="AF270" s="12"/>
    </row>
    <row r="271" ht="46.5" customHeight="1">
      <c r="A271" s="1"/>
      <c r="B271" s="2"/>
      <c r="C271" s="2"/>
      <c r="D271" s="3"/>
      <c r="E271" s="3"/>
      <c r="F271" s="3"/>
      <c r="G271" s="3"/>
      <c r="H271" s="4"/>
      <c r="I271" s="5"/>
      <c r="J271" s="6"/>
      <c r="K271" s="7"/>
      <c r="L271" s="8"/>
      <c r="M271" s="9"/>
      <c r="N271" s="9"/>
      <c r="O271" s="9"/>
      <c r="P271" s="10"/>
      <c r="Q271" s="11"/>
      <c r="R271" s="11"/>
      <c r="S271" s="11"/>
      <c r="T271" s="11"/>
      <c r="U271" s="11"/>
      <c r="V271" s="11"/>
      <c r="W271" s="11"/>
      <c r="X271" s="11"/>
      <c r="Y271" s="11"/>
      <c r="Z271" s="12"/>
      <c r="AA271" s="12"/>
      <c r="AB271" s="12"/>
      <c r="AC271" s="12"/>
      <c r="AD271" s="12"/>
      <c r="AE271" s="12"/>
      <c r="AF271" s="12"/>
    </row>
    <row r="272" ht="46.5" customHeight="1">
      <c r="A272" s="1"/>
      <c r="B272" s="2"/>
      <c r="C272" s="2"/>
      <c r="D272" s="3"/>
      <c r="E272" s="3"/>
      <c r="F272" s="3"/>
      <c r="G272" s="3"/>
      <c r="H272" s="4"/>
      <c r="I272" s="5"/>
      <c r="J272" s="6"/>
      <c r="K272" s="7"/>
      <c r="L272" s="8"/>
      <c r="M272" s="9"/>
      <c r="N272" s="9"/>
      <c r="O272" s="9"/>
      <c r="P272" s="10"/>
      <c r="Q272" s="11"/>
      <c r="R272" s="11"/>
      <c r="S272" s="11"/>
      <c r="T272" s="11"/>
      <c r="U272" s="11"/>
      <c r="V272" s="11"/>
      <c r="W272" s="11"/>
      <c r="X272" s="11"/>
      <c r="Y272" s="11"/>
      <c r="Z272" s="12"/>
      <c r="AA272" s="12"/>
      <c r="AB272" s="12"/>
      <c r="AC272" s="12"/>
      <c r="AD272" s="12"/>
      <c r="AE272" s="12"/>
      <c r="AF272" s="12"/>
    </row>
    <row r="273" ht="46.5" customHeight="1">
      <c r="A273" s="1"/>
      <c r="B273" s="2"/>
      <c r="C273" s="2"/>
      <c r="D273" s="3"/>
      <c r="E273" s="3"/>
      <c r="F273" s="3"/>
      <c r="G273" s="3"/>
      <c r="H273" s="4"/>
      <c r="I273" s="5"/>
      <c r="J273" s="6"/>
      <c r="K273" s="7"/>
      <c r="L273" s="8"/>
      <c r="M273" s="9"/>
      <c r="N273" s="9"/>
      <c r="O273" s="9"/>
      <c r="P273" s="10"/>
      <c r="Q273" s="11"/>
      <c r="R273" s="11"/>
      <c r="S273" s="11"/>
      <c r="T273" s="11"/>
      <c r="U273" s="11"/>
      <c r="V273" s="11"/>
      <c r="W273" s="11"/>
      <c r="X273" s="11"/>
      <c r="Y273" s="11"/>
      <c r="Z273" s="12"/>
      <c r="AA273" s="12"/>
      <c r="AB273" s="12"/>
      <c r="AC273" s="12"/>
      <c r="AD273" s="12"/>
      <c r="AE273" s="12"/>
      <c r="AF273" s="12"/>
    </row>
    <row r="274" ht="46.5" customHeight="1">
      <c r="A274" s="1"/>
      <c r="B274" s="2"/>
      <c r="C274" s="2"/>
      <c r="D274" s="3"/>
      <c r="E274" s="3"/>
      <c r="F274" s="3"/>
      <c r="G274" s="3"/>
      <c r="H274" s="4"/>
      <c r="I274" s="5"/>
      <c r="J274" s="6"/>
      <c r="K274" s="7"/>
      <c r="L274" s="8"/>
      <c r="M274" s="9"/>
      <c r="N274" s="9"/>
      <c r="O274" s="9"/>
      <c r="P274" s="10"/>
      <c r="Q274" s="11"/>
      <c r="R274" s="11"/>
      <c r="S274" s="11"/>
      <c r="T274" s="11"/>
      <c r="U274" s="11"/>
      <c r="V274" s="11"/>
      <c r="W274" s="11"/>
      <c r="X274" s="11"/>
      <c r="Y274" s="11"/>
      <c r="Z274" s="12"/>
      <c r="AA274" s="12"/>
      <c r="AB274" s="12"/>
      <c r="AC274" s="12"/>
      <c r="AD274" s="12"/>
      <c r="AE274" s="12"/>
      <c r="AF274" s="12"/>
    </row>
    <row r="275" ht="46.5" customHeight="1">
      <c r="A275" s="1"/>
      <c r="B275" s="2"/>
      <c r="C275" s="2"/>
      <c r="D275" s="3"/>
      <c r="E275" s="3"/>
      <c r="F275" s="3"/>
      <c r="G275" s="3"/>
      <c r="H275" s="4"/>
      <c r="I275" s="5"/>
      <c r="J275" s="6"/>
      <c r="K275" s="7"/>
      <c r="L275" s="8"/>
      <c r="M275" s="9"/>
      <c r="N275" s="9"/>
      <c r="O275" s="9"/>
      <c r="P275" s="10"/>
      <c r="Q275" s="11"/>
      <c r="R275" s="11"/>
      <c r="S275" s="11"/>
      <c r="T275" s="11"/>
      <c r="U275" s="11"/>
      <c r="V275" s="11"/>
      <c r="W275" s="11"/>
      <c r="X275" s="11"/>
      <c r="Y275" s="11"/>
      <c r="Z275" s="12"/>
      <c r="AA275" s="12"/>
      <c r="AB275" s="12"/>
      <c r="AC275" s="12"/>
      <c r="AD275" s="12"/>
      <c r="AE275" s="12"/>
      <c r="AF275" s="12"/>
    </row>
    <row r="276" ht="46.5" customHeight="1">
      <c r="A276" s="1"/>
      <c r="B276" s="2"/>
      <c r="C276" s="2"/>
      <c r="D276" s="3"/>
      <c r="E276" s="3"/>
      <c r="F276" s="3"/>
      <c r="G276" s="3"/>
      <c r="H276" s="4"/>
      <c r="I276" s="5"/>
      <c r="J276" s="6"/>
      <c r="K276" s="7"/>
      <c r="L276" s="8"/>
      <c r="M276" s="9"/>
      <c r="N276" s="9"/>
      <c r="O276" s="9"/>
      <c r="P276" s="10"/>
      <c r="Q276" s="11"/>
      <c r="R276" s="11"/>
      <c r="S276" s="11"/>
      <c r="T276" s="11"/>
      <c r="U276" s="11"/>
      <c r="V276" s="11"/>
      <c r="W276" s="11"/>
      <c r="X276" s="11"/>
      <c r="Y276" s="11"/>
      <c r="Z276" s="12"/>
      <c r="AA276" s="12"/>
      <c r="AB276" s="12"/>
      <c r="AC276" s="12"/>
      <c r="AD276" s="12"/>
      <c r="AE276" s="12"/>
      <c r="AF276" s="12"/>
    </row>
    <row r="277" ht="46.5" customHeight="1">
      <c r="A277" s="1"/>
      <c r="B277" s="2"/>
      <c r="C277" s="2"/>
      <c r="D277" s="3"/>
      <c r="E277" s="3"/>
      <c r="F277" s="3"/>
      <c r="G277" s="3"/>
      <c r="H277" s="4"/>
      <c r="I277" s="5"/>
      <c r="J277" s="6"/>
      <c r="K277" s="7"/>
      <c r="L277" s="8"/>
      <c r="M277" s="9"/>
      <c r="N277" s="9"/>
      <c r="O277" s="9"/>
      <c r="P277" s="10"/>
      <c r="Q277" s="11"/>
      <c r="R277" s="11"/>
      <c r="S277" s="11"/>
      <c r="T277" s="11"/>
      <c r="U277" s="11"/>
      <c r="V277" s="11"/>
      <c r="W277" s="11"/>
      <c r="X277" s="11"/>
      <c r="Y277" s="11"/>
      <c r="Z277" s="12"/>
      <c r="AA277" s="12"/>
      <c r="AB277" s="12"/>
      <c r="AC277" s="12"/>
      <c r="AD277" s="12"/>
      <c r="AE277" s="12"/>
      <c r="AF277" s="12"/>
    </row>
    <row r="278" ht="46.5" customHeight="1">
      <c r="A278" s="1"/>
      <c r="B278" s="2"/>
      <c r="C278" s="2"/>
      <c r="D278" s="3"/>
      <c r="E278" s="3"/>
      <c r="F278" s="3"/>
      <c r="G278" s="3"/>
      <c r="H278" s="4"/>
      <c r="I278" s="5"/>
      <c r="J278" s="6"/>
      <c r="K278" s="7"/>
      <c r="L278" s="8"/>
      <c r="M278" s="9"/>
      <c r="N278" s="9"/>
      <c r="O278" s="9"/>
      <c r="P278" s="10"/>
      <c r="Q278" s="11"/>
      <c r="R278" s="11"/>
      <c r="S278" s="11"/>
      <c r="T278" s="11"/>
      <c r="U278" s="11"/>
      <c r="V278" s="11"/>
      <c r="W278" s="11"/>
      <c r="X278" s="11"/>
      <c r="Y278" s="11"/>
      <c r="Z278" s="12"/>
      <c r="AA278" s="12"/>
      <c r="AB278" s="12"/>
      <c r="AC278" s="12"/>
      <c r="AD278" s="12"/>
      <c r="AE278" s="12"/>
      <c r="AF278" s="12"/>
    </row>
    <row r="279" ht="46.5" customHeight="1">
      <c r="A279" s="1"/>
      <c r="B279" s="2"/>
      <c r="C279" s="2"/>
      <c r="D279" s="3"/>
      <c r="E279" s="3"/>
      <c r="F279" s="3"/>
      <c r="G279" s="3"/>
      <c r="H279" s="4"/>
      <c r="I279" s="5"/>
      <c r="J279" s="6"/>
      <c r="K279" s="7"/>
      <c r="L279" s="8"/>
      <c r="M279" s="9"/>
      <c r="N279" s="9"/>
      <c r="O279" s="9"/>
      <c r="P279" s="10"/>
      <c r="Q279" s="11"/>
      <c r="R279" s="11"/>
      <c r="S279" s="11"/>
      <c r="T279" s="11"/>
      <c r="U279" s="11"/>
      <c r="V279" s="11"/>
      <c r="W279" s="11"/>
      <c r="X279" s="11"/>
      <c r="Y279" s="11"/>
      <c r="Z279" s="12"/>
      <c r="AA279" s="12"/>
      <c r="AB279" s="12"/>
      <c r="AC279" s="12"/>
      <c r="AD279" s="12"/>
      <c r="AE279" s="12"/>
      <c r="AF279" s="12"/>
    </row>
    <row r="280" ht="46.5" customHeight="1">
      <c r="A280" s="1"/>
      <c r="B280" s="2"/>
      <c r="C280" s="2"/>
      <c r="D280" s="3"/>
      <c r="E280" s="3"/>
      <c r="F280" s="3"/>
      <c r="G280" s="3"/>
      <c r="H280" s="4"/>
      <c r="I280" s="5"/>
      <c r="J280" s="6"/>
      <c r="K280" s="7"/>
      <c r="L280" s="8"/>
      <c r="M280" s="9"/>
      <c r="N280" s="9"/>
      <c r="O280" s="9"/>
      <c r="P280" s="10"/>
      <c r="Q280" s="11"/>
      <c r="R280" s="11"/>
      <c r="S280" s="11"/>
      <c r="T280" s="11"/>
      <c r="U280" s="11"/>
      <c r="V280" s="11"/>
      <c r="W280" s="11"/>
      <c r="X280" s="11"/>
      <c r="Y280" s="11"/>
      <c r="Z280" s="12"/>
      <c r="AA280" s="12"/>
      <c r="AB280" s="12"/>
      <c r="AC280" s="12"/>
      <c r="AD280" s="12"/>
      <c r="AE280" s="12"/>
      <c r="AF280" s="12"/>
    </row>
    <row r="281" ht="46.5" customHeight="1">
      <c r="A281" s="1"/>
      <c r="B281" s="2"/>
      <c r="C281" s="2"/>
      <c r="D281" s="3"/>
      <c r="E281" s="3"/>
      <c r="F281" s="3"/>
      <c r="G281" s="3"/>
      <c r="H281" s="4"/>
      <c r="I281" s="5"/>
      <c r="J281" s="6"/>
      <c r="K281" s="7"/>
      <c r="L281" s="8"/>
      <c r="M281" s="9"/>
      <c r="N281" s="9"/>
      <c r="O281" s="9"/>
      <c r="P281" s="10"/>
      <c r="Q281" s="11"/>
      <c r="R281" s="11"/>
      <c r="S281" s="11"/>
      <c r="T281" s="11"/>
      <c r="U281" s="11"/>
      <c r="V281" s="11"/>
      <c r="W281" s="11"/>
      <c r="X281" s="11"/>
      <c r="Y281" s="11"/>
      <c r="Z281" s="12"/>
      <c r="AA281" s="12"/>
      <c r="AB281" s="12"/>
      <c r="AC281" s="12"/>
      <c r="AD281" s="12"/>
      <c r="AE281" s="12"/>
      <c r="AF281" s="12"/>
    </row>
    <row r="282" ht="46.5" customHeight="1">
      <c r="A282" s="1"/>
      <c r="B282" s="2"/>
      <c r="C282" s="2"/>
      <c r="D282" s="3"/>
      <c r="E282" s="3"/>
      <c r="F282" s="3"/>
      <c r="G282" s="3"/>
      <c r="H282" s="4"/>
      <c r="I282" s="5"/>
      <c r="J282" s="6"/>
      <c r="K282" s="7"/>
      <c r="L282" s="8"/>
      <c r="M282" s="9"/>
      <c r="N282" s="9"/>
      <c r="O282" s="9"/>
      <c r="P282" s="10"/>
      <c r="Q282" s="11"/>
      <c r="R282" s="11"/>
      <c r="S282" s="11"/>
      <c r="T282" s="11"/>
      <c r="U282" s="11"/>
      <c r="V282" s="11"/>
      <c r="W282" s="11"/>
      <c r="X282" s="11"/>
      <c r="Y282" s="11"/>
      <c r="Z282" s="12"/>
      <c r="AA282" s="12"/>
      <c r="AB282" s="12"/>
      <c r="AC282" s="12"/>
      <c r="AD282" s="12"/>
      <c r="AE282" s="12"/>
      <c r="AF282" s="12"/>
    </row>
    <row r="283" ht="46.5" customHeight="1">
      <c r="A283" s="1"/>
      <c r="B283" s="2"/>
      <c r="C283" s="2"/>
      <c r="D283" s="3"/>
      <c r="E283" s="3"/>
      <c r="F283" s="3"/>
      <c r="G283" s="3"/>
      <c r="H283" s="4"/>
      <c r="I283" s="5"/>
      <c r="J283" s="6"/>
      <c r="K283" s="7"/>
      <c r="L283" s="8"/>
      <c r="M283" s="9"/>
      <c r="N283" s="9"/>
      <c r="O283" s="9"/>
      <c r="P283" s="10"/>
      <c r="Q283" s="11"/>
      <c r="R283" s="11"/>
      <c r="S283" s="11"/>
      <c r="T283" s="11"/>
      <c r="U283" s="11"/>
      <c r="V283" s="11"/>
      <c r="W283" s="11"/>
      <c r="X283" s="11"/>
      <c r="Y283" s="11"/>
      <c r="Z283" s="12"/>
      <c r="AA283" s="12"/>
      <c r="AB283" s="12"/>
      <c r="AC283" s="12"/>
      <c r="AD283" s="12"/>
      <c r="AE283" s="12"/>
      <c r="AF283" s="12"/>
    </row>
    <row r="284" ht="46.5" customHeight="1">
      <c r="A284" s="1"/>
      <c r="B284" s="2"/>
      <c r="C284" s="2"/>
      <c r="D284" s="3"/>
      <c r="E284" s="3"/>
      <c r="F284" s="3"/>
      <c r="G284" s="3"/>
      <c r="H284" s="4"/>
      <c r="I284" s="5"/>
      <c r="J284" s="6"/>
      <c r="K284" s="7"/>
      <c r="L284" s="8"/>
      <c r="M284" s="9"/>
      <c r="N284" s="9"/>
      <c r="O284" s="9"/>
      <c r="P284" s="10"/>
      <c r="Q284" s="11"/>
      <c r="R284" s="11"/>
      <c r="S284" s="11"/>
      <c r="T284" s="11"/>
      <c r="U284" s="11"/>
      <c r="V284" s="11"/>
      <c r="W284" s="11"/>
      <c r="X284" s="11"/>
      <c r="Y284" s="11"/>
      <c r="Z284" s="12"/>
      <c r="AA284" s="12"/>
      <c r="AB284" s="12"/>
      <c r="AC284" s="12"/>
      <c r="AD284" s="12"/>
      <c r="AE284" s="12"/>
      <c r="AF284" s="12"/>
    </row>
    <row r="285" ht="46.5" customHeight="1">
      <c r="A285" s="1"/>
      <c r="B285" s="2"/>
      <c r="C285" s="2"/>
      <c r="D285" s="3"/>
      <c r="E285" s="3"/>
      <c r="F285" s="3"/>
      <c r="G285" s="3"/>
      <c r="H285" s="4"/>
      <c r="I285" s="5"/>
      <c r="J285" s="6"/>
      <c r="K285" s="7"/>
      <c r="L285" s="8"/>
      <c r="M285" s="9"/>
      <c r="N285" s="9"/>
      <c r="O285" s="9"/>
      <c r="P285" s="10"/>
      <c r="Q285" s="11"/>
      <c r="R285" s="11"/>
      <c r="S285" s="11"/>
      <c r="T285" s="11"/>
      <c r="U285" s="11"/>
      <c r="V285" s="11"/>
      <c r="W285" s="11"/>
      <c r="X285" s="11"/>
      <c r="Y285" s="11"/>
      <c r="Z285" s="12"/>
      <c r="AA285" s="12"/>
      <c r="AB285" s="12"/>
      <c r="AC285" s="12"/>
      <c r="AD285" s="12"/>
      <c r="AE285" s="12"/>
      <c r="AF285" s="12"/>
    </row>
    <row r="286" ht="46.5" customHeight="1">
      <c r="A286" s="1"/>
      <c r="B286" s="2"/>
      <c r="C286" s="2"/>
      <c r="D286" s="3"/>
      <c r="E286" s="3"/>
      <c r="F286" s="3"/>
      <c r="G286" s="3"/>
      <c r="H286" s="4"/>
      <c r="I286" s="5"/>
      <c r="J286" s="6"/>
      <c r="K286" s="7"/>
      <c r="L286" s="8"/>
      <c r="M286" s="9"/>
      <c r="N286" s="9"/>
      <c r="O286" s="9"/>
      <c r="P286" s="10"/>
      <c r="Q286" s="11"/>
      <c r="R286" s="11"/>
      <c r="S286" s="11"/>
      <c r="T286" s="11"/>
      <c r="U286" s="11"/>
      <c r="V286" s="11"/>
      <c r="W286" s="11"/>
      <c r="X286" s="11"/>
      <c r="Y286" s="11"/>
      <c r="Z286" s="12"/>
      <c r="AA286" s="12"/>
      <c r="AB286" s="12"/>
      <c r="AC286" s="12"/>
      <c r="AD286" s="12"/>
      <c r="AE286" s="12"/>
      <c r="AF286" s="12"/>
    </row>
    <row r="287" ht="46.5" customHeight="1">
      <c r="A287" s="1"/>
      <c r="B287" s="2"/>
      <c r="C287" s="2"/>
      <c r="D287" s="3"/>
      <c r="E287" s="3"/>
      <c r="F287" s="3"/>
      <c r="G287" s="3"/>
      <c r="H287" s="4"/>
      <c r="I287" s="5"/>
      <c r="J287" s="6"/>
      <c r="K287" s="7"/>
      <c r="L287" s="8"/>
      <c r="M287" s="9"/>
      <c r="N287" s="9"/>
      <c r="O287" s="9"/>
      <c r="P287" s="10"/>
      <c r="Q287" s="11"/>
      <c r="R287" s="11"/>
      <c r="S287" s="11"/>
      <c r="T287" s="11"/>
      <c r="U287" s="11"/>
      <c r="V287" s="11"/>
      <c r="W287" s="11"/>
      <c r="X287" s="11"/>
      <c r="Y287" s="11"/>
      <c r="Z287" s="12"/>
      <c r="AA287" s="12"/>
      <c r="AB287" s="12"/>
      <c r="AC287" s="12"/>
      <c r="AD287" s="12"/>
      <c r="AE287" s="12"/>
      <c r="AF287" s="12"/>
    </row>
    <row r="288" ht="46.5" customHeight="1">
      <c r="A288" s="1"/>
      <c r="B288" s="2"/>
      <c r="C288" s="2"/>
      <c r="D288" s="3"/>
      <c r="E288" s="3"/>
      <c r="F288" s="3"/>
      <c r="G288" s="3"/>
      <c r="H288" s="4"/>
      <c r="I288" s="5"/>
      <c r="J288" s="6"/>
      <c r="K288" s="7"/>
      <c r="L288" s="8"/>
      <c r="M288" s="9"/>
      <c r="N288" s="9"/>
      <c r="O288" s="9"/>
      <c r="P288" s="10"/>
      <c r="Q288" s="11"/>
      <c r="R288" s="11"/>
      <c r="S288" s="11"/>
      <c r="T288" s="11"/>
      <c r="U288" s="11"/>
      <c r="V288" s="11"/>
      <c r="W288" s="11"/>
      <c r="X288" s="11"/>
      <c r="Y288" s="11"/>
      <c r="Z288" s="12"/>
      <c r="AA288" s="12"/>
      <c r="AB288" s="12"/>
      <c r="AC288" s="12"/>
      <c r="AD288" s="12"/>
      <c r="AE288" s="12"/>
      <c r="AF288" s="12"/>
    </row>
    <row r="289" ht="46.5" customHeight="1">
      <c r="A289" s="1"/>
      <c r="B289" s="2"/>
      <c r="C289" s="2"/>
      <c r="D289" s="3"/>
      <c r="E289" s="3"/>
      <c r="F289" s="3"/>
      <c r="G289" s="3"/>
      <c r="H289" s="4"/>
      <c r="I289" s="5"/>
      <c r="J289" s="6"/>
      <c r="K289" s="7"/>
      <c r="L289" s="8"/>
      <c r="M289" s="9"/>
      <c r="N289" s="9"/>
      <c r="O289" s="9"/>
      <c r="P289" s="10"/>
      <c r="Q289" s="11"/>
      <c r="R289" s="11"/>
      <c r="S289" s="11"/>
      <c r="T289" s="11"/>
      <c r="U289" s="11"/>
      <c r="V289" s="11"/>
      <c r="W289" s="11"/>
      <c r="X289" s="11"/>
      <c r="Y289" s="11"/>
      <c r="Z289" s="12"/>
      <c r="AA289" s="12"/>
      <c r="AB289" s="12"/>
      <c r="AC289" s="12"/>
      <c r="AD289" s="12"/>
      <c r="AE289" s="12"/>
      <c r="AF289" s="12"/>
    </row>
    <row r="290" ht="46.5" customHeight="1">
      <c r="A290" s="1"/>
      <c r="B290" s="2"/>
      <c r="C290" s="2"/>
      <c r="D290" s="3"/>
      <c r="E290" s="3"/>
      <c r="F290" s="3"/>
      <c r="G290" s="3"/>
      <c r="H290" s="4"/>
      <c r="I290" s="5"/>
      <c r="J290" s="6"/>
      <c r="K290" s="7"/>
      <c r="L290" s="8"/>
      <c r="M290" s="9"/>
      <c r="N290" s="9"/>
      <c r="O290" s="9"/>
      <c r="P290" s="10"/>
      <c r="Q290" s="11"/>
      <c r="R290" s="11"/>
      <c r="S290" s="11"/>
      <c r="T290" s="11"/>
      <c r="U290" s="11"/>
      <c r="V290" s="11"/>
      <c r="W290" s="11"/>
      <c r="X290" s="11"/>
      <c r="Y290" s="11"/>
      <c r="Z290" s="12"/>
      <c r="AA290" s="12"/>
      <c r="AB290" s="12"/>
      <c r="AC290" s="12"/>
      <c r="AD290" s="12"/>
      <c r="AE290" s="12"/>
      <c r="AF290" s="12"/>
    </row>
    <row r="291" ht="46.5" customHeight="1">
      <c r="A291" s="1"/>
      <c r="B291" s="2"/>
      <c r="C291" s="2"/>
      <c r="D291" s="3"/>
      <c r="E291" s="3"/>
      <c r="F291" s="3"/>
      <c r="G291" s="3"/>
      <c r="H291" s="4"/>
      <c r="I291" s="5"/>
      <c r="J291" s="6"/>
      <c r="K291" s="7"/>
      <c r="L291" s="8"/>
      <c r="M291" s="9"/>
      <c r="N291" s="9"/>
      <c r="O291" s="9"/>
      <c r="P291" s="10"/>
      <c r="Q291" s="11"/>
      <c r="R291" s="11"/>
      <c r="S291" s="11"/>
      <c r="T291" s="11"/>
      <c r="U291" s="11"/>
      <c r="V291" s="11"/>
      <c r="W291" s="11"/>
      <c r="X291" s="11"/>
      <c r="Y291" s="11"/>
      <c r="Z291" s="12"/>
      <c r="AA291" s="12"/>
      <c r="AB291" s="12"/>
      <c r="AC291" s="12"/>
      <c r="AD291" s="12"/>
      <c r="AE291" s="12"/>
      <c r="AF291" s="12"/>
    </row>
    <row r="292" ht="46.5" customHeight="1">
      <c r="A292" s="1"/>
      <c r="B292" s="2"/>
      <c r="C292" s="2"/>
      <c r="D292" s="3"/>
      <c r="E292" s="3"/>
      <c r="F292" s="3"/>
      <c r="G292" s="3"/>
      <c r="H292" s="4"/>
      <c r="I292" s="5"/>
      <c r="J292" s="6"/>
      <c r="K292" s="7"/>
      <c r="L292" s="8"/>
      <c r="M292" s="9"/>
      <c r="N292" s="9"/>
      <c r="O292" s="9"/>
      <c r="P292" s="10"/>
      <c r="Q292" s="11"/>
      <c r="R292" s="11"/>
      <c r="S292" s="11"/>
      <c r="T292" s="11"/>
      <c r="U292" s="11"/>
      <c r="V292" s="11"/>
      <c r="W292" s="11"/>
      <c r="X292" s="11"/>
      <c r="Y292" s="11"/>
      <c r="Z292" s="12"/>
      <c r="AA292" s="12"/>
      <c r="AB292" s="12"/>
      <c r="AC292" s="12"/>
      <c r="AD292" s="12"/>
      <c r="AE292" s="12"/>
      <c r="AF292" s="12"/>
    </row>
    <row r="293" ht="46.5" customHeight="1">
      <c r="A293" s="1"/>
      <c r="B293" s="2"/>
      <c r="C293" s="2"/>
      <c r="D293" s="3"/>
      <c r="E293" s="3"/>
      <c r="F293" s="3"/>
      <c r="G293" s="3"/>
      <c r="H293" s="4"/>
      <c r="I293" s="5"/>
      <c r="J293" s="6"/>
      <c r="K293" s="7"/>
      <c r="L293" s="8"/>
      <c r="M293" s="9"/>
      <c r="N293" s="9"/>
      <c r="O293" s="9"/>
      <c r="P293" s="10"/>
      <c r="Q293" s="11"/>
      <c r="R293" s="11"/>
      <c r="S293" s="11"/>
      <c r="T293" s="11"/>
      <c r="U293" s="11"/>
      <c r="V293" s="11"/>
      <c r="W293" s="11"/>
      <c r="X293" s="11"/>
      <c r="Y293" s="11"/>
      <c r="Z293" s="12"/>
      <c r="AA293" s="12"/>
      <c r="AB293" s="12"/>
      <c r="AC293" s="12"/>
      <c r="AD293" s="12"/>
      <c r="AE293" s="12"/>
      <c r="AF293" s="12"/>
    </row>
    <row r="294" ht="46.5" customHeight="1">
      <c r="A294" s="1"/>
      <c r="B294" s="2"/>
      <c r="C294" s="2"/>
      <c r="D294" s="3"/>
      <c r="E294" s="3"/>
      <c r="F294" s="3"/>
      <c r="G294" s="3"/>
      <c r="H294" s="4"/>
      <c r="I294" s="5"/>
      <c r="J294" s="6"/>
      <c r="K294" s="7"/>
      <c r="L294" s="8"/>
      <c r="M294" s="9"/>
      <c r="N294" s="9"/>
      <c r="O294" s="9"/>
      <c r="P294" s="10"/>
      <c r="Q294" s="11"/>
      <c r="R294" s="11"/>
      <c r="S294" s="11"/>
      <c r="T294" s="11"/>
      <c r="U294" s="11"/>
      <c r="V294" s="11"/>
      <c r="W294" s="11"/>
      <c r="X294" s="11"/>
      <c r="Y294" s="11"/>
      <c r="Z294" s="12"/>
      <c r="AA294" s="12"/>
      <c r="AB294" s="12"/>
      <c r="AC294" s="12"/>
      <c r="AD294" s="12"/>
      <c r="AE294" s="12"/>
      <c r="AF294" s="12"/>
    </row>
    <row r="295" ht="46.5" customHeight="1">
      <c r="A295" s="1"/>
      <c r="B295" s="2"/>
      <c r="C295" s="2"/>
      <c r="D295" s="3"/>
      <c r="E295" s="3"/>
      <c r="F295" s="3"/>
      <c r="G295" s="3"/>
      <c r="H295" s="4"/>
      <c r="I295" s="5"/>
      <c r="J295" s="6"/>
      <c r="K295" s="7"/>
      <c r="L295" s="8"/>
      <c r="M295" s="9"/>
      <c r="N295" s="9"/>
      <c r="O295" s="9"/>
      <c r="P295" s="10"/>
      <c r="Q295" s="11"/>
      <c r="R295" s="11"/>
      <c r="S295" s="11"/>
      <c r="T295" s="11"/>
      <c r="U295" s="11"/>
      <c r="V295" s="11"/>
      <c r="W295" s="11"/>
      <c r="X295" s="11"/>
      <c r="Y295" s="11"/>
      <c r="Z295" s="12"/>
      <c r="AA295" s="12"/>
      <c r="AB295" s="12"/>
      <c r="AC295" s="12"/>
      <c r="AD295" s="12"/>
      <c r="AE295" s="12"/>
      <c r="AF295" s="12"/>
    </row>
    <row r="296" ht="46.5" customHeight="1">
      <c r="A296" s="1"/>
      <c r="B296" s="2"/>
      <c r="C296" s="2"/>
      <c r="D296" s="3"/>
      <c r="E296" s="3"/>
      <c r="F296" s="3"/>
      <c r="G296" s="3"/>
      <c r="H296" s="4"/>
      <c r="I296" s="5"/>
      <c r="J296" s="6"/>
      <c r="K296" s="7"/>
      <c r="L296" s="8"/>
      <c r="M296" s="9"/>
      <c r="N296" s="9"/>
      <c r="O296" s="9"/>
      <c r="P296" s="10"/>
      <c r="Q296" s="11"/>
      <c r="R296" s="11"/>
      <c r="S296" s="11"/>
      <c r="T296" s="11"/>
      <c r="U296" s="11"/>
      <c r="V296" s="11"/>
      <c r="W296" s="11"/>
      <c r="X296" s="11"/>
      <c r="Y296" s="11"/>
      <c r="Z296" s="12"/>
      <c r="AA296" s="12"/>
      <c r="AB296" s="12"/>
      <c r="AC296" s="12"/>
      <c r="AD296" s="12"/>
      <c r="AE296" s="12"/>
      <c r="AF296" s="12"/>
    </row>
    <row r="297" ht="46.5" customHeight="1">
      <c r="A297" s="1"/>
      <c r="B297" s="2"/>
      <c r="C297" s="2"/>
      <c r="D297" s="3"/>
      <c r="E297" s="3"/>
      <c r="F297" s="3"/>
      <c r="G297" s="3"/>
      <c r="H297" s="4"/>
      <c r="I297" s="5"/>
      <c r="J297" s="6"/>
      <c r="K297" s="7"/>
      <c r="L297" s="8"/>
      <c r="M297" s="9"/>
      <c r="N297" s="9"/>
      <c r="O297" s="9"/>
      <c r="P297" s="10"/>
      <c r="Q297" s="11"/>
      <c r="R297" s="11"/>
      <c r="S297" s="11"/>
      <c r="T297" s="11"/>
      <c r="U297" s="11"/>
      <c r="V297" s="11"/>
      <c r="W297" s="11"/>
      <c r="X297" s="11"/>
      <c r="Y297" s="11"/>
      <c r="Z297" s="12"/>
      <c r="AA297" s="12"/>
      <c r="AB297" s="12"/>
      <c r="AC297" s="12"/>
      <c r="AD297" s="12"/>
      <c r="AE297" s="12"/>
      <c r="AF297" s="12"/>
    </row>
    <row r="298" ht="46.5" customHeight="1">
      <c r="A298" s="1"/>
      <c r="B298" s="2"/>
      <c r="C298" s="2"/>
      <c r="D298" s="3"/>
      <c r="E298" s="3"/>
      <c r="F298" s="3"/>
      <c r="G298" s="3"/>
      <c r="H298" s="4"/>
      <c r="I298" s="5"/>
      <c r="J298" s="6"/>
      <c r="K298" s="7"/>
      <c r="L298" s="8"/>
      <c r="M298" s="9"/>
      <c r="N298" s="9"/>
      <c r="O298" s="9"/>
      <c r="P298" s="10"/>
      <c r="Q298" s="11"/>
      <c r="R298" s="11"/>
      <c r="S298" s="11"/>
      <c r="T298" s="11"/>
      <c r="U298" s="11"/>
      <c r="V298" s="11"/>
      <c r="W298" s="11"/>
      <c r="X298" s="11"/>
      <c r="Y298" s="11"/>
      <c r="Z298" s="12"/>
      <c r="AA298" s="12"/>
      <c r="AB298" s="12"/>
      <c r="AC298" s="12"/>
      <c r="AD298" s="12"/>
      <c r="AE298" s="12"/>
      <c r="AF298" s="12"/>
    </row>
    <row r="299" ht="46.5" customHeight="1">
      <c r="A299" s="1"/>
      <c r="B299" s="2"/>
      <c r="C299" s="2"/>
      <c r="D299" s="3"/>
      <c r="E299" s="3"/>
      <c r="F299" s="3"/>
      <c r="G299" s="3"/>
      <c r="H299" s="4"/>
      <c r="I299" s="5"/>
      <c r="J299" s="6"/>
      <c r="K299" s="7"/>
      <c r="L299" s="8"/>
      <c r="M299" s="9"/>
      <c r="N299" s="9"/>
      <c r="O299" s="9"/>
      <c r="P299" s="10"/>
      <c r="Q299" s="11"/>
      <c r="R299" s="11"/>
      <c r="S299" s="11"/>
      <c r="T299" s="11"/>
      <c r="U299" s="11"/>
      <c r="V299" s="11"/>
      <c r="W299" s="11"/>
      <c r="X299" s="11"/>
      <c r="Y299" s="11"/>
      <c r="Z299" s="12"/>
      <c r="AA299" s="12"/>
      <c r="AB299" s="12"/>
      <c r="AC299" s="12"/>
      <c r="AD299" s="12"/>
      <c r="AE299" s="12"/>
      <c r="AF299" s="12"/>
    </row>
    <row r="300" ht="46.5" customHeight="1">
      <c r="A300" s="1"/>
      <c r="B300" s="2"/>
      <c r="C300" s="2"/>
      <c r="D300" s="3"/>
      <c r="E300" s="3"/>
      <c r="F300" s="3"/>
      <c r="G300" s="3"/>
      <c r="H300" s="4"/>
      <c r="I300" s="5"/>
      <c r="J300" s="6"/>
      <c r="K300" s="7"/>
      <c r="L300" s="8"/>
      <c r="M300" s="9"/>
      <c r="N300" s="9"/>
      <c r="O300" s="9"/>
      <c r="P300" s="10"/>
      <c r="Q300" s="11"/>
      <c r="R300" s="11"/>
      <c r="S300" s="11"/>
      <c r="T300" s="11"/>
      <c r="U300" s="11"/>
      <c r="V300" s="11"/>
      <c r="W300" s="11"/>
      <c r="X300" s="11"/>
      <c r="Y300" s="11"/>
      <c r="Z300" s="12"/>
      <c r="AA300" s="12"/>
      <c r="AB300" s="12"/>
      <c r="AC300" s="12"/>
      <c r="AD300" s="12"/>
      <c r="AE300" s="12"/>
      <c r="AF300" s="12"/>
    </row>
    <row r="301" ht="46.5" customHeight="1">
      <c r="A301" s="1"/>
      <c r="B301" s="2"/>
      <c r="C301" s="2"/>
      <c r="D301" s="3"/>
      <c r="E301" s="3"/>
      <c r="F301" s="3"/>
      <c r="G301" s="3"/>
      <c r="H301" s="4"/>
      <c r="I301" s="5"/>
      <c r="J301" s="6"/>
      <c r="K301" s="7"/>
      <c r="L301" s="8"/>
      <c r="M301" s="9"/>
      <c r="N301" s="9"/>
      <c r="O301" s="9"/>
      <c r="P301" s="10"/>
      <c r="Q301" s="11"/>
      <c r="R301" s="11"/>
      <c r="S301" s="11"/>
      <c r="T301" s="11"/>
      <c r="U301" s="11"/>
      <c r="V301" s="11"/>
      <c r="W301" s="11"/>
      <c r="X301" s="11"/>
      <c r="Y301" s="11"/>
      <c r="Z301" s="12"/>
      <c r="AA301" s="12"/>
      <c r="AB301" s="12"/>
      <c r="AC301" s="12"/>
      <c r="AD301" s="12"/>
      <c r="AE301" s="12"/>
      <c r="AF301" s="12"/>
    </row>
    <row r="302" ht="46.5" customHeight="1">
      <c r="A302" s="1"/>
      <c r="B302" s="2"/>
      <c r="C302" s="2"/>
      <c r="D302" s="3"/>
      <c r="E302" s="3"/>
      <c r="F302" s="3"/>
      <c r="G302" s="3"/>
      <c r="H302" s="4"/>
      <c r="I302" s="5"/>
      <c r="J302" s="6"/>
      <c r="K302" s="7"/>
      <c r="L302" s="8"/>
      <c r="M302" s="9"/>
      <c r="N302" s="9"/>
      <c r="O302" s="9"/>
      <c r="P302" s="10"/>
      <c r="Q302" s="11"/>
      <c r="R302" s="11"/>
      <c r="S302" s="11"/>
      <c r="T302" s="11"/>
      <c r="U302" s="11"/>
      <c r="V302" s="11"/>
      <c r="W302" s="11"/>
      <c r="X302" s="11"/>
      <c r="Y302" s="11"/>
      <c r="Z302" s="12"/>
      <c r="AA302" s="12"/>
      <c r="AB302" s="12"/>
      <c r="AC302" s="12"/>
      <c r="AD302" s="12"/>
      <c r="AE302" s="12"/>
      <c r="AF302" s="12"/>
    </row>
    <row r="303" ht="46.5" customHeight="1">
      <c r="A303" s="1"/>
      <c r="B303" s="2"/>
      <c r="C303" s="2"/>
      <c r="D303" s="3"/>
      <c r="E303" s="3"/>
      <c r="F303" s="3"/>
      <c r="G303" s="3"/>
      <c r="H303" s="4"/>
      <c r="I303" s="5"/>
      <c r="J303" s="6"/>
      <c r="K303" s="7"/>
      <c r="L303" s="8"/>
      <c r="M303" s="9"/>
      <c r="N303" s="9"/>
      <c r="O303" s="9"/>
      <c r="P303" s="10"/>
      <c r="Q303" s="11"/>
      <c r="R303" s="11"/>
      <c r="S303" s="11"/>
      <c r="T303" s="11"/>
      <c r="U303" s="11"/>
      <c r="V303" s="11"/>
      <c r="W303" s="11"/>
      <c r="X303" s="11"/>
      <c r="Y303" s="11"/>
      <c r="Z303" s="12"/>
      <c r="AA303" s="12"/>
      <c r="AB303" s="12"/>
      <c r="AC303" s="12"/>
      <c r="AD303" s="12"/>
      <c r="AE303" s="12"/>
      <c r="AF303" s="12"/>
    </row>
    <row r="304" ht="46.5" customHeight="1">
      <c r="A304" s="1"/>
      <c r="B304" s="2"/>
      <c r="C304" s="2"/>
      <c r="D304" s="3"/>
      <c r="E304" s="3"/>
      <c r="F304" s="3"/>
      <c r="G304" s="3"/>
      <c r="H304" s="4"/>
      <c r="I304" s="5"/>
      <c r="J304" s="6"/>
      <c r="K304" s="7"/>
      <c r="L304" s="8"/>
      <c r="M304" s="9"/>
      <c r="N304" s="9"/>
      <c r="O304" s="9"/>
      <c r="P304" s="10"/>
      <c r="Q304" s="11"/>
      <c r="R304" s="11"/>
      <c r="S304" s="11"/>
      <c r="T304" s="11"/>
      <c r="U304" s="11"/>
      <c r="V304" s="11"/>
      <c r="W304" s="11"/>
      <c r="X304" s="11"/>
      <c r="Y304" s="11"/>
      <c r="Z304" s="12"/>
      <c r="AA304" s="12"/>
      <c r="AB304" s="12"/>
      <c r="AC304" s="12"/>
      <c r="AD304" s="12"/>
      <c r="AE304" s="12"/>
      <c r="AF304" s="12"/>
    </row>
    <row r="305" ht="46.5" customHeight="1">
      <c r="A305" s="1"/>
      <c r="B305" s="2"/>
      <c r="C305" s="2"/>
      <c r="D305" s="3"/>
      <c r="E305" s="3"/>
      <c r="F305" s="3"/>
      <c r="G305" s="3"/>
      <c r="H305" s="4"/>
      <c r="I305" s="5"/>
      <c r="J305" s="6"/>
      <c r="K305" s="7"/>
      <c r="L305" s="8"/>
      <c r="M305" s="9"/>
      <c r="N305" s="9"/>
      <c r="O305" s="9"/>
      <c r="P305" s="10"/>
      <c r="Q305" s="11"/>
      <c r="R305" s="11"/>
      <c r="S305" s="11"/>
      <c r="T305" s="11"/>
      <c r="U305" s="11"/>
      <c r="V305" s="11"/>
      <c r="W305" s="11"/>
      <c r="X305" s="11"/>
      <c r="Y305" s="11"/>
      <c r="Z305" s="12"/>
      <c r="AA305" s="12"/>
      <c r="AB305" s="12"/>
      <c r="AC305" s="12"/>
      <c r="AD305" s="12"/>
      <c r="AE305" s="12"/>
      <c r="AF305" s="12"/>
    </row>
    <row r="306" ht="46.5" customHeight="1">
      <c r="A306" s="1"/>
      <c r="B306" s="2"/>
      <c r="C306" s="2"/>
      <c r="D306" s="3"/>
      <c r="E306" s="3"/>
      <c r="F306" s="3"/>
      <c r="G306" s="3"/>
      <c r="H306" s="4"/>
      <c r="I306" s="5"/>
      <c r="J306" s="6"/>
      <c r="K306" s="7"/>
      <c r="L306" s="8"/>
      <c r="M306" s="9"/>
      <c r="N306" s="9"/>
      <c r="O306" s="9"/>
      <c r="P306" s="10"/>
      <c r="Q306" s="11"/>
      <c r="R306" s="11"/>
      <c r="S306" s="11"/>
      <c r="T306" s="11"/>
      <c r="U306" s="11"/>
      <c r="V306" s="11"/>
      <c r="W306" s="11"/>
      <c r="X306" s="11"/>
      <c r="Y306" s="11"/>
      <c r="Z306" s="12"/>
      <c r="AA306" s="12"/>
      <c r="AB306" s="12"/>
      <c r="AC306" s="12"/>
      <c r="AD306" s="12"/>
      <c r="AE306" s="12"/>
      <c r="AF306" s="12"/>
    </row>
    <row r="307" ht="46.5" customHeight="1">
      <c r="A307" s="1"/>
      <c r="B307" s="2"/>
      <c r="C307" s="2"/>
      <c r="D307" s="3"/>
      <c r="E307" s="3"/>
      <c r="F307" s="3"/>
      <c r="G307" s="3"/>
      <c r="H307" s="4"/>
      <c r="I307" s="5"/>
      <c r="J307" s="6"/>
      <c r="K307" s="7"/>
      <c r="L307" s="8"/>
      <c r="M307" s="9"/>
      <c r="N307" s="9"/>
      <c r="O307" s="9"/>
      <c r="P307" s="10"/>
      <c r="Q307" s="11"/>
      <c r="R307" s="11"/>
      <c r="S307" s="11"/>
      <c r="T307" s="11"/>
      <c r="U307" s="11"/>
      <c r="V307" s="11"/>
      <c r="W307" s="11"/>
      <c r="X307" s="11"/>
      <c r="Y307" s="11"/>
      <c r="Z307" s="12"/>
      <c r="AA307" s="12"/>
      <c r="AB307" s="12"/>
      <c r="AC307" s="12"/>
      <c r="AD307" s="12"/>
      <c r="AE307" s="12"/>
      <c r="AF307" s="12"/>
    </row>
    <row r="308" ht="46.5" customHeight="1">
      <c r="A308" s="1"/>
      <c r="B308" s="2"/>
      <c r="C308" s="2"/>
      <c r="D308" s="3"/>
      <c r="E308" s="3"/>
      <c r="F308" s="3"/>
      <c r="G308" s="3"/>
      <c r="H308" s="4"/>
      <c r="I308" s="5"/>
      <c r="J308" s="6"/>
      <c r="K308" s="7"/>
      <c r="L308" s="8"/>
      <c r="M308" s="9"/>
      <c r="N308" s="9"/>
      <c r="O308" s="9"/>
      <c r="P308" s="10"/>
      <c r="Q308" s="11"/>
      <c r="R308" s="11"/>
      <c r="S308" s="11"/>
      <c r="T308" s="11"/>
      <c r="U308" s="11"/>
      <c r="V308" s="11"/>
      <c r="W308" s="11"/>
      <c r="X308" s="11"/>
      <c r="Y308" s="11"/>
      <c r="Z308" s="12"/>
      <c r="AA308" s="12"/>
      <c r="AB308" s="12"/>
      <c r="AC308" s="12"/>
      <c r="AD308" s="12"/>
      <c r="AE308" s="12"/>
      <c r="AF308" s="12"/>
    </row>
    <row r="309" ht="46.5" customHeight="1">
      <c r="A309" s="1"/>
      <c r="B309" s="2"/>
      <c r="C309" s="2"/>
      <c r="D309" s="3"/>
      <c r="E309" s="3"/>
      <c r="F309" s="3"/>
      <c r="G309" s="3"/>
      <c r="H309" s="4"/>
      <c r="I309" s="5"/>
      <c r="J309" s="6"/>
      <c r="K309" s="7"/>
      <c r="L309" s="8"/>
      <c r="M309" s="9"/>
      <c r="N309" s="9"/>
      <c r="O309" s="9"/>
      <c r="P309" s="10"/>
      <c r="Q309" s="11"/>
      <c r="R309" s="11"/>
      <c r="S309" s="11"/>
      <c r="T309" s="11"/>
      <c r="U309" s="11"/>
      <c r="V309" s="11"/>
      <c r="W309" s="11"/>
      <c r="X309" s="11"/>
      <c r="Y309" s="11"/>
      <c r="Z309" s="12"/>
      <c r="AA309" s="12"/>
      <c r="AB309" s="12"/>
      <c r="AC309" s="12"/>
      <c r="AD309" s="12"/>
      <c r="AE309" s="12"/>
      <c r="AF309" s="12"/>
    </row>
    <row r="310" ht="46.5" customHeight="1">
      <c r="A310" s="1"/>
      <c r="B310" s="2"/>
      <c r="C310" s="2"/>
      <c r="D310" s="3"/>
      <c r="E310" s="3"/>
      <c r="F310" s="3"/>
      <c r="G310" s="3"/>
      <c r="H310" s="4"/>
      <c r="I310" s="5"/>
      <c r="J310" s="6"/>
      <c r="K310" s="7"/>
      <c r="L310" s="8"/>
      <c r="M310" s="9"/>
      <c r="N310" s="9"/>
      <c r="O310" s="9"/>
      <c r="P310" s="10"/>
      <c r="Q310" s="11"/>
      <c r="R310" s="11"/>
      <c r="S310" s="11"/>
      <c r="T310" s="11"/>
      <c r="U310" s="11"/>
      <c r="V310" s="11"/>
      <c r="W310" s="11"/>
      <c r="X310" s="11"/>
      <c r="Y310" s="11"/>
      <c r="Z310" s="12"/>
      <c r="AA310" s="12"/>
      <c r="AB310" s="12"/>
      <c r="AC310" s="12"/>
      <c r="AD310" s="12"/>
      <c r="AE310" s="12"/>
      <c r="AF310" s="12"/>
    </row>
    <row r="311" ht="46.5" customHeight="1">
      <c r="A311" s="1"/>
      <c r="B311" s="2"/>
      <c r="C311" s="2"/>
      <c r="D311" s="3"/>
      <c r="E311" s="3"/>
      <c r="F311" s="3"/>
      <c r="G311" s="3"/>
      <c r="H311" s="4"/>
      <c r="I311" s="5"/>
      <c r="J311" s="6"/>
      <c r="K311" s="7"/>
      <c r="L311" s="8"/>
      <c r="M311" s="9"/>
      <c r="N311" s="9"/>
      <c r="O311" s="9"/>
      <c r="P311" s="10"/>
      <c r="Q311" s="11"/>
      <c r="R311" s="11"/>
      <c r="S311" s="11"/>
      <c r="T311" s="11"/>
      <c r="U311" s="11"/>
      <c r="V311" s="11"/>
      <c r="W311" s="11"/>
      <c r="X311" s="11"/>
      <c r="Y311" s="11"/>
      <c r="Z311" s="12"/>
      <c r="AA311" s="12"/>
      <c r="AB311" s="12"/>
      <c r="AC311" s="12"/>
      <c r="AD311" s="12"/>
      <c r="AE311" s="12"/>
      <c r="AF311" s="12"/>
    </row>
    <row r="312" ht="46.5" customHeight="1">
      <c r="A312" s="1"/>
      <c r="B312" s="2"/>
      <c r="C312" s="2"/>
      <c r="D312" s="3"/>
      <c r="E312" s="3"/>
      <c r="F312" s="3"/>
      <c r="G312" s="3"/>
      <c r="H312" s="4"/>
      <c r="I312" s="5"/>
      <c r="J312" s="6"/>
      <c r="K312" s="7"/>
      <c r="L312" s="8"/>
      <c r="M312" s="9"/>
      <c r="N312" s="9"/>
      <c r="O312" s="9"/>
      <c r="P312" s="10"/>
      <c r="Q312" s="11"/>
      <c r="R312" s="11"/>
      <c r="S312" s="11"/>
      <c r="T312" s="11"/>
      <c r="U312" s="11"/>
      <c r="V312" s="11"/>
      <c r="W312" s="11"/>
      <c r="X312" s="11"/>
      <c r="Y312" s="11"/>
      <c r="Z312" s="12"/>
      <c r="AA312" s="12"/>
      <c r="AB312" s="12"/>
      <c r="AC312" s="12"/>
      <c r="AD312" s="12"/>
      <c r="AE312" s="12"/>
      <c r="AF312" s="12"/>
    </row>
    <row r="313" ht="46.5" customHeight="1">
      <c r="A313" s="1"/>
      <c r="B313" s="2"/>
      <c r="C313" s="2"/>
      <c r="D313" s="3"/>
      <c r="E313" s="3"/>
      <c r="F313" s="3"/>
      <c r="G313" s="3"/>
      <c r="H313" s="4"/>
      <c r="I313" s="5"/>
      <c r="J313" s="6"/>
      <c r="K313" s="7"/>
      <c r="L313" s="8"/>
      <c r="M313" s="9"/>
      <c r="N313" s="9"/>
      <c r="O313" s="9"/>
      <c r="P313" s="10"/>
      <c r="Q313" s="11"/>
      <c r="R313" s="11"/>
      <c r="S313" s="11"/>
      <c r="T313" s="11"/>
      <c r="U313" s="11"/>
      <c r="V313" s="11"/>
      <c r="W313" s="11"/>
      <c r="X313" s="11"/>
      <c r="Y313" s="11"/>
      <c r="Z313" s="12"/>
      <c r="AA313" s="12"/>
      <c r="AB313" s="12"/>
      <c r="AC313" s="12"/>
      <c r="AD313" s="12"/>
      <c r="AE313" s="12"/>
      <c r="AF313" s="12"/>
    </row>
    <row r="314" ht="46.5" customHeight="1">
      <c r="A314" s="1"/>
      <c r="B314" s="2"/>
      <c r="C314" s="2"/>
      <c r="D314" s="3"/>
      <c r="E314" s="3"/>
      <c r="F314" s="3"/>
      <c r="G314" s="3"/>
      <c r="H314" s="4"/>
      <c r="I314" s="5"/>
      <c r="J314" s="6"/>
      <c r="K314" s="7"/>
      <c r="L314" s="8"/>
      <c r="M314" s="9"/>
      <c r="N314" s="9"/>
      <c r="O314" s="9"/>
      <c r="P314" s="10"/>
      <c r="Q314" s="11"/>
      <c r="R314" s="11"/>
      <c r="S314" s="11"/>
      <c r="T314" s="11"/>
      <c r="U314" s="11"/>
      <c r="V314" s="11"/>
      <c r="W314" s="11"/>
      <c r="X314" s="11"/>
      <c r="Y314" s="11"/>
      <c r="Z314" s="12"/>
      <c r="AA314" s="12"/>
      <c r="AB314" s="12"/>
      <c r="AC314" s="12"/>
      <c r="AD314" s="12"/>
      <c r="AE314" s="12"/>
      <c r="AF314" s="12"/>
    </row>
    <row r="315" ht="46.5" customHeight="1">
      <c r="A315" s="1"/>
      <c r="B315" s="2"/>
      <c r="C315" s="2"/>
      <c r="D315" s="3"/>
      <c r="E315" s="3"/>
      <c r="F315" s="3"/>
      <c r="G315" s="3"/>
      <c r="H315" s="4"/>
      <c r="I315" s="5"/>
      <c r="J315" s="6"/>
      <c r="K315" s="7"/>
      <c r="L315" s="8"/>
      <c r="M315" s="9"/>
      <c r="N315" s="9"/>
      <c r="O315" s="9"/>
      <c r="P315" s="10"/>
      <c r="Q315" s="11"/>
      <c r="R315" s="11"/>
      <c r="S315" s="11"/>
      <c r="T315" s="11"/>
      <c r="U315" s="11"/>
      <c r="V315" s="11"/>
      <c r="W315" s="11"/>
      <c r="X315" s="11"/>
      <c r="Y315" s="11"/>
      <c r="Z315" s="12"/>
      <c r="AA315" s="12"/>
      <c r="AB315" s="12"/>
      <c r="AC315" s="12"/>
      <c r="AD315" s="12"/>
      <c r="AE315" s="12"/>
      <c r="AF315" s="12"/>
    </row>
    <row r="316" ht="46.5" customHeight="1">
      <c r="A316" s="1"/>
      <c r="B316" s="2"/>
      <c r="C316" s="2"/>
      <c r="D316" s="3"/>
      <c r="E316" s="3"/>
      <c r="F316" s="3"/>
      <c r="G316" s="3"/>
      <c r="H316" s="4"/>
      <c r="I316" s="5"/>
      <c r="J316" s="6"/>
      <c r="K316" s="7"/>
      <c r="L316" s="8"/>
      <c r="M316" s="9"/>
      <c r="N316" s="9"/>
      <c r="O316" s="9"/>
      <c r="P316" s="10"/>
      <c r="Q316" s="11"/>
      <c r="R316" s="11"/>
      <c r="S316" s="11"/>
      <c r="T316" s="11"/>
      <c r="U316" s="11"/>
      <c r="V316" s="11"/>
      <c r="W316" s="11"/>
      <c r="X316" s="11"/>
      <c r="Y316" s="11"/>
      <c r="Z316" s="12"/>
      <c r="AA316" s="12"/>
      <c r="AB316" s="12"/>
      <c r="AC316" s="12"/>
      <c r="AD316" s="12"/>
      <c r="AE316" s="12"/>
      <c r="AF316" s="12"/>
    </row>
    <row r="317" ht="46.5" customHeight="1">
      <c r="A317" s="1"/>
      <c r="B317" s="2"/>
      <c r="C317" s="2"/>
      <c r="D317" s="3"/>
      <c r="E317" s="3"/>
      <c r="F317" s="3"/>
      <c r="G317" s="3"/>
      <c r="H317" s="4"/>
      <c r="I317" s="5"/>
      <c r="J317" s="6"/>
      <c r="K317" s="7"/>
      <c r="L317" s="8"/>
      <c r="M317" s="9"/>
      <c r="N317" s="9"/>
      <c r="O317" s="9"/>
      <c r="P317" s="10"/>
      <c r="Q317" s="11"/>
      <c r="R317" s="11"/>
      <c r="S317" s="11"/>
      <c r="T317" s="11"/>
      <c r="U317" s="11"/>
      <c r="V317" s="11"/>
      <c r="W317" s="11"/>
      <c r="X317" s="11"/>
      <c r="Y317" s="11"/>
      <c r="Z317" s="12"/>
      <c r="AA317" s="12"/>
      <c r="AB317" s="12"/>
      <c r="AC317" s="12"/>
      <c r="AD317" s="12"/>
      <c r="AE317" s="12"/>
      <c r="AF317" s="12"/>
    </row>
    <row r="318" ht="46.5" customHeight="1">
      <c r="A318" s="1"/>
      <c r="B318" s="2"/>
      <c r="C318" s="2"/>
      <c r="D318" s="3"/>
      <c r="E318" s="3"/>
      <c r="F318" s="3"/>
      <c r="G318" s="3"/>
      <c r="H318" s="4"/>
      <c r="I318" s="5"/>
      <c r="J318" s="6"/>
      <c r="K318" s="7"/>
      <c r="L318" s="8"/>
      <c r="M318" s="9"/>
      <c r="N318" s="9"/>
      <c r="O318" s="9"/>
      <c r="P318" s="10"/>
      <c r="Q318" s="11"/>
      <c r="R318" s="11"/>
      <c r="S318" s="11"/>
      <c r="T318" s="11"/>
      <c r="U318" s="11"/>
      <c r="V318" s="11"/>
      <c r="W318" s="11"/>
      <c r="X318" s="11"/>
      <c r="Y318" s="11"/>
      <c r="Z318" s="12"/>
      <c r="AA318" s="12"/>
      <c r="AB318" s="12"/>
      <c r="AC318" s="12"/>
      <c r="AD318" s="12"/>
      <c r="AE318" s="12"/>
      <c r="AF318" s="12"/>
    </row>
    <row r="319" ht="46.5" customHeight="1">
      <c r="A319" s="1"/>
      <c r="B319" s="2"/>
      <c r="C319" s="2"/>
      <c r="D319" s="3"/>
      <c r="E319" s="3"/>
      <c r="F319" s="3"/>
      <c r="G319" s="3"/>
      <c r="H319" s="4"/>
      <c r="I319" s="5"/>
      <c r="J319" s="6"/>
      <c r="K319" s="7"/>
      <c r="L319" s="8"/>
      <c r="M319" s="9"/>
      <c r="N319" s="9"/>
      <c r="O319" s="9"/>
      <c r="P319" s="10"/>
      <c r="Q319" s="11"/>
      <c r="R319" s="11"/>
      <c r="S319" s="11"/>
      <c r="T319" s="11"/>
      <c r="U319" s="11"/>
      <c r="V319" s="11"/>
      <c r="W319" s="11"/>
      <c r="X319" s="11"/>
      <c r="Y319" s="11"/>
      <c r="Z319" s="12"/>
      <c r="AA319" s="12"/>
      <c r="AB319" s="12"/>
      <c r="AC319" s="12"/>
      <c r="AD319" s="12"/>
      <c r="AE319" s="12"/>
      <c r="AF319" s="12"/>
    </row>
    <row r="320" ht="46.5" customHeight="1">
      <c r="A320" s="1"/>
      <c r="B320" s="2"/>
      <c r="C320" s="2"/>
      <c r="D320" s="3"/>
      <c r="E320" s="3"/>
      <c r="F320" s="3"/>
      <c r="G320" s="3"/>
      <c r="H320" s="4"/>
      <c r="I320" s="5"/>
      <c r="J320" s="6"/>
      <c r="K320" s="7"/>
      <c r="L320" s="8"/>
      <c r="M320" s="9"/>
      <c r="N320" s="9"/>
      <c r="O320" s="9"/>
      <c r="P320" s="10"/>
      <c r="Q320" s="11"/>
      <c r="R320" s="11"/>
      <c r="S320" s="11"/>
      <c r="T320" s="11"/>
      <c r="U320" s="11"/>
      <c r="V320" s="11"/>
      <c r="W320" s="11"/>
      <c r="X320" s="11"/>
      <c r="Y320" s="11"/>
      <c r="Z320" s="12"/>
      <c r="AA320" s="12"/>
      <c r="AB320" s="12"/>
      <c r="AC320" s="12"/>
      <c r="AD320" s="12"/>
      <c r="AE320" s="12"/>
      <c r="AF320" s="12"/>
    </row>
    <row r="321" ht="46.5" customHeight="1">
      <c r="A321" s="1"/>
      <c r="B321" s="2"/>
      <c r="C321" s="2"/>
      <c r="D321" s="3"/>
      <c r="E321" s="3"/>
      <c r="F321" s="3"/>
      <c r="G321" s="3"/>
      <c r="H321" s="4"/>
      <c r="I321" s="5"/>
      <c r="J321" s="6"/>
      <c r="K321" s="7"/>
      <c r="L321" s="8"/>
      <c r="M321" s="9"/>
      <c r="N321" s="9"/>
      <c r="O321" s="9"/>
      <c r="P321" s="10"/>
      <c r="Q321" s="11"/>
      <c r="R321" s="11"/>
      <c r="S321" s="11"/>
      <c r="T321" s="11"/>
      <c r="U321" s="11"/>
      <c r="V321" s="11"/>
      <c r="W321" s="11"/>
      <c r="X321" s="11"/>
      <c r="Y321" s="11"/>
      <c r="Z321" s="12"/>
      <c r="AA321" s="12"/>
      <c r="AB321" s="12"/>
      <c r="AC321" s="12"/>
      <c r="AD321" s="12"/>
      <c r="AE321" s="12"/>
      <c r="AF321" s="12"/>
    </row>
    <row r="322" ht="46.5" customHeight="1">
      <c r="A322" s="1"/>
      <c r="B322" s="2"/>
      <c r="C322" s="2"/>
      <c r="D322" s="3"/>
      <c r="E322" s="3"/>
      <c r="F322" s="3"/>
      <c r="G322" s="3"/>
      <c r="H322" s="4"/>
      <c r="I322" s="5"/>
      <c r="J322" s="6"/>
      <c r="K322" s="7"/>
      <c r="L322" s="8"/>
      <c r="M322" s="9"/>
      <c r="N322" s="9"/>
      <c r="O322" s="9"/>
      <c r="P322" s="10"/>
      <c r="Q322" s="11"/>
      <c r="R322" s="11"/>
      <c r="S322" s="11"/>
      <c r="T322" s="11"/>
      <c r="U322" s="11"/>
      <c r="V322" s="11"/>
      <c r="W322" s="11"/>
      <c r="X322" s="11"/>
      <c r="Y322" s="11"/>
      <c r="Z322" s="12"/>
      <c r="AA322" s="12"/>
      <c r="AB322" s="12"/>
      <c r="AC322" s="12"/>
      <c r="AD322" s="12"/>
      <c r="AE322" s="12"/>
      <c r="AF322" s="12"/>
    </row>
    <row r="323" ht="46.5" customHeight="1">
      <c r="A323" s="1"/>
      <c r="B323" s="2"/>
      <c r="C323" s="2"/>
      <c r="D323" s="3"/>
      <c r="E323" s="3"/>
      <c r="F323" s="3"/>
      <c r="G323" s="3"/>
      <c r="H323" s="4"/>
      <c r="I323" s="5"/>
      <c r="J323" s="6"/>
      <c r="K323" s="7"/>
      <c r="L323" s="8"/>
      <c r="M323" s="9"/>
      <c r="N323" s="9"/>
      <c r="O323" s="9"/>
      <c r="P323" s="10"/>
      <c r="Q323" s="11"/>
      <c r="R323" s="11"/>
      <c r="S323" s="11"/>
      <c r="T323" s="11"/>
      <c r="U323" s="11"/>
      <c r="V323" s="11"/>
      <c r="W323" s="11"/>
      <c r="X323" s="11"/>
      <c r="Y323" s="11"/>
      <c r="Z323" s="12"/>
      <c r="AA323" s="12"/>
      <c r="AB323" s="12"/>
      <c r="AC323" s="12"/>
      <c r="AD323" s="12"/>
      <c r="AE323" s="12"/>
      <c r="AF323" s="12"/>
    </row>
    <row r="324" ht="46.5" customHeight="1">
      <c r="A324" s="1"/>
      <c r="B324" s="2"/>
      <c r="C324" s="2"/>
      <c r="D324" s="3"/>
      <c r="E324" s="3"/>
      <c r="F324" s="3"/>
      <c r="G324" s="3"/>
      <c r="H324" s="4"/>
      <c r="I324" s="5"/>
      <c r="J324" s="6"/>
      <c r="K324" s="7"/>
      <c r="L324" s="8"/>
      <c r="M324" s="9"/>
      <c r="N324" s="9"/>
      <c r="O324" s="9"/>
      <c r="P324" s="10"/>
      <c r="Q324" s="11"/>
      <c r="R324" s="11"/>
      <c r="S324" s="11"/>
      <c r="T324" s="11"/>
      <c r="U324" s="11"/>
      <c r="V324" s="11"/>
      <c r="W324" s="11"/>
      <c r="X324" s="11"/>
      <c r="Y324" s="11"/>
      <c r="Z324" s="12"/>
      <c r="AA324" s="12"/>
      <c r="AB324" s="12"/>
      <c r="AC324" s="12"/>
      <c r="AD324" s="12"/>
      <c r="AE324" s="12"/>
      <c r="AF324" s="12"/>
    </row>
    <row r="325" ht="46.5" customHeight="1">
      <c r="A325" s="1"/>
      <c r="B325" s="2"/>
      <c r="C325" s="2"/>
      <c r="D325" s="3"/>
      <c r="E325" s="3"/>
      <c r="F325" s="3"/>
      <c r="G325" s="3"/>
      <c r="H325" s="4"/>
      <c r="I325" s="5"/>
      <c r="J325" s="6"/>
      <c r="K325" s="7"/>
      <c r="L325" s="8"/>
      <c r="M325" s="9"/>
      <c r="N325" s="9"/>
      <c r="O325" s="9"/>
      <c r="P325" s="10"/>
      <c r="Q325" s="11"/>
      <c r="R325" s="11"/>
      <c r="S325" s="11"/>
      <c r="T325" s="11"/>
      <c r="U325" s="11"/>
      <c r="V325" s="11"/>
      <c r="W325" s="11"/>
      <c r="X325" s="11"/>
      <c r="Y325" s="11"/>
      <c r="Z325" s="12"/>
      <c r="AA325" s="12"/>
      <c r="AB325" s="12"/>
      <c r="AC325" s="12"/>
      <c r="AD325" s="12"/>
      <c r="AE325" s="12"/>
      <c r="AF325" s="12"/>
    </row>
    <row r="326" ht="46.5" customHeight="1">
      <c r="A326" s="1"/>
      <c r="B326" s="2"/>
      <c r="C326" s="2"/>
      <c r="D326" s="3"/>
      <c r="E326" s="3"/>
      <c r="F326" s="3"/>
      <c r="G326" s="3"/>
      <c r="H326" s="4"/>
      <c r="I326" s="5"/>
      <c r="J326" s="6"/>
      <c r="K326" s="7"/>
      <c r="L326" s="8"/>
      <c r="M326" s="9"/>
      <c r="N326" s="9"/>
      <c r="O326" s="9"/>
      <c r="P326" s="10"/>
      <c r="Q326" s="11"/>
      <c r="R326" s="11"/>
      <c r="S326" s="11"/>
      <c r="T326" s="11"/>
      <c r="U326" s="11"/>
      <c r="V326" s="11"/>
      <c r="W326" s="11"/>
      <c r="X326" s="11"/>
      <c r="Y326" s="11"/>
      <c r="Z326" s="12"/>
      <c r="AA326" s="12"/>
      <c r="AB326" s="12"/>
      <c r="AC326" s="12"/>
      <c r="AD326" s="12"/>
      <c r="AE326" s="12"/>
      <c r="AF326" s="12"/>
    </row>
    <row r="327" ht="46.5" customHeight="1">
      <c r="A327" s="1"/>
      <c r="B327" s="2"/>
      <c r="C327" s="2"/>
      <c r="D327" s="3"/>
      <c r="E327" s="3"/>
      <c r="F327" s="3"/>
      <c r="G327" s="3"/>
      <c r="H327" s="4"/>
      <c r="I327" s="5"/>
      <c r="J327" s="6"/>
      <c r="K327" s="7"/>
      <c r="L327" s="8"/>
      <c r="M327" s="9"/>
      <c r="N327" s="9"/>
      <c r="O327" s="9"/>
      <c r="P327" s="10"/>
      <c r="Q327" s="11"/>
      <c r="R327" s="11"/>
      <c r="S327" s="11"/>
      <c r="T327" s="11"/>
      <c r="U327" s="11"/>
      <c r="V327" s="11"/>
      <c r="W327" s="11"/>
      <c r="X327" s="11"/>
      <c r="Y327" s="11"/>
      <c r="Z327" s="12"/>
      <c r="AA327" s="12"/>
      <c r="AB327" s="12"/>
      <c r="AC327" s="12"/>
      <c r="AD327" s="12"/>
      <c r="AE327" s="12"/>
      <c r="AF327" s="12"/>
    </row>
    <row r="328" ht="46.5" customHeight="1">
      <c r="A328" s="1"/>
      <c r="B328" s="2"/>
      <c r="C328" s="2"/>
      <c r="D328" s="3"/>
      <c r="E328" s="3"/>
      <c r="F328" s="3"/>
      <c r="G328" s="3"/>
      <c r="H328" s="4"/>
      <c r="I328" s="5"/>
      <c r="J328" s="6"/>
      <c r="K328" s="7"/>
      <c r="L328" s="8"/>
      <c r="M328" s="9"/>
      <c r="N328" s="9"/>
      <c r="O328" s="9"/>
      <c r="P328" s="10"/>
      <c r="Q328" s="11"/>
      <c r="R328" s="11"/>
      <c r="S328" s="11"/>
      <c r="T328" s="11"/>
      <c r="U328" s="11"/>
      <c r="V328" s="11"/>
      <c r="W328" s="11"/>
      <c r="X328" s="11"/>
      <c r="Y328" s="11"/>
      <c r="Z328" s="12"/>
      <c r="AA328" s="12"/>
      <c r="AB328" s="12"/>
      <c r="AC328" s="12"/>
      <c r="AD328" s="12"/>
      <c r="AE328" s="12"/>
      <c r="AF328" s="12"/>
    </row>
    <row r="329" ht="46.5" customHeight="1">
      <c r="A329" s="1"/>
      <c r="B329" s="2"/>
      <c r="C329" s="2"/>
      <c r="D329" s="3"/>
      <c r="E329" s="3"/>
      <c r="F329" s="3"/>
      <c r="G329" s="3"/>
      <c r="H329" s="4"/>
      <c r="I329" s="5"/>
      <c r="J329" s="6"/>
      <c r="K329" s="7"/>
      <c r="L329" s="8"/>
      <c r="M329" s="9"/>
      <c r="N329" s="9"/>
      <c r="O329" s="9"/>
      <c r="P329" s="10"/>
      <c r="Q329" s="11"/>
      <c r="R329" s="11"/>
      <c r="S329" s="11"/>
      <c r="T329" s="11"/>
      <c r="U329" s="11"/>
      <c r="V329" s="11"/>
      <c r="W329" s="11"/>
      <c r="X329" s="11"/>
      <c r="Y329" s="11"/>
      <c r="Z329" s="12"/>
      <c r="AA329" s="12"/>
      <c r="AB329" s="12"/>
      <c r="AC329" s="12"/>
      <c r="AD329" s="12"/>
      <c r="AE329" s="12"/>
      <c r="AF329" s="12"/>
    </row>
    <row r="330" ht="46.5" customHeight="1">
      <c r="A330" s="1"/>
      <c r="B330" s="2"/>
      <c r="C330" s="2"/>
      <c r="D330" s="3"/>
      <c r="E330" s="3"/>
      <c r="F330" s="3"/>
      <c r="G330" s="3"/>
      <c r="H330" s="4"/>
      <c r="I330" s="5"/>
      <c r="J330" s="6"/>
      <c r="K330" s="7"/>
      <c r="L330" s="8"/>
      <c r="M330" s="9"/>
      <c r="N330" s="9"/>
      <c r="O330" s="9"/>
      <c r="P330" s="10"/>
      <c r="Q330" s="11"/>
      <c r="R330" s="11"/>
      <c r="S330" s="11"/>
      <c r="T330" s="11"/>
      <c r="U330" s="11"/>
      <c r="V330" s="11"/>
      <c r="W330" s="11"/>
      <c r="X330" s="11"/>
      <c r="Y330" s="11"/>
      <c r="Z330" s="12"/>
      <c r="AA330" s="12"/>
      <c r="AB330" s="12"/>
      <c r="AC330" s="12"/>
      <c r="AD330" s="12"/>
      <c r="AE330" s="12"/>
      <c r="AF330" s="12"/>
    </row>
    <row r="331" ht="46.5" customHeight="1">
      <c r="A331" s="1"/>
      <c r="B331" s="2"/>
      <c r="C331" s="2"/>
      <c r="D331" s="3"/>
      <c r="E331" s="3"/>
      <c r="F331" s="3"/>
      <c r="G331" s="3"/>
      <c r="H331" s="4"/>
      <c r="I331" s="5"/>
      <c r="J331" s="6"/>
      <c r="K331" s="7"/>
      <c r="L331" s="8"/>
      <c r="M331" s="9"/>
      <c r="N331" s="9"/>
      <c r="O331" s="9"/>
      <c r="P331" s="10"/>
      <c r="Q331" s="11"/>
      <c r="R331" s="11"/>
      <c r="S331" s="11"/>
      <c r="T331" s="11"/>
      <c r="U331" s="11"/>
      <c r="V331" s="11"/>
      <c r="W331" s="11"/>
      <c r="X331" s="11"/>
      <c r="Y331" s="11"/>
      <c r="Z331" s="12"/>
      <c r="AA331" s="12"/>
      <c r="AB331" s="12"/>
      <c r="AC331" s="12"/>
      <c r="AD331" s="12"/>
      <c r="AE331" s="12"/>
      <c r="AF331" s="12"/>
    </row>
    <row r="332" ht="46.5" customHeight="1">
      <c r="A332" s="1"/>
      <c r="B332" s="2"/>
      <c r="C332" s="2"/>
      <c r="D332" s="3"/>
      <c r="E332" s="3"/>
      <c r="F332" s="3"/>
      <c r="G332" s="3"/>
      <c r="H332" s="4"/>
      <c r="I332" s="5"/>
      <c r="J332" s="6"/>
      <c r="K332" s="7"/>
      <c r="L332" s="8"/>
      <c r="M332" s="9"/>
      <c r="N332" s="9"/>
      <c r="O332" s="9"/>
      <c r="P332" s="10"/>
      <c r="Q332" s="11"/>
      <c r="R332" s="11"/>
      <c r="S332" s="11"/>
      <c r="T332" s="11"/>
      <c r="U332" s="11"/>
      <c r="V332" s="11"/>
      <c r="W332" s="11"/>
      <c r="X332" s="11"/>
      <c r="Y332" s="11"/>
      <c r="Z332" s="12"/>
      <c r="AA332" s="12"/>
      <c r="AB332" s="12"/>
      <c r="AC332" s="12"/>
      <c r="AD332" s="12"/>
      <c r="AE332" s="12"/>
      <c r="AF332" s="12"/>
    </row>
    <row r="333" ht="46.5" customHeight="1">
      <c r="A333" s="1"/>
      <c r="B333" s="2"/>
      <c r="C333" s="2"/>
      <c r="D333" s="3"/>
      <c r="E333" s="3"/>
      <c r="F333" s="3"/>
      <c r="G333" s="3"/>
      <c r="H333" s="4"/>
      <c r="I333" s="5"/>
      <c r="J333" s="6"/>
      <c r="K333" s="7"/>
      <c r="L333" s="8"/>
      <c r="M333" s="9"/>
      <c r="N333" s="9"/>
      <c r="O333" s="9"/>
      <c r="P333" s="10"/>
      <c r="Q333" s="11"/>
      <c r="R333" s="11"/>
      <c r="S333" s="11"/>
      <c r="T333" s="11"/>
      <c r="U333" s="11"/>
      <c r="V333" s="11"/>
      <c r="W333" s="11"/>
      <c r="X333" s="11"/>
      <c r="Y333" s="11"/>
      <c r="Z333" s="12"/>
      <c r="AA333" s="12"/>
      <c r="AB333" s="12"/>
      <c r="AC333" s="12"/>
      <c r="AD333" s="12"/>
      <c r="AE333" s="12"/>
      <c r="AF333" s="12"/>
    </row>
    <row r="334" ht="46.5" customHeight="1">
      <c r="A334" s="1"/>
      <c r="B334" s="2"/>
      <c r="C334" s="2"/>
      <c r="D334" s="3"/>
      <c r="E334" s="3"/>
      <c r="F334" s="3"/>
      <c r="G334" s="3"/>
      <c r="H334" s="4"/>
      <c r="I334" s="5"/>
      <c r="J334" s="6"/>
      <c r="K334" s="7"/>
      <c r="L334" s="8"/>
      <c r="M334" s="9"/>
      <c r="N334" s="9"/>
      <c r="O334" s="9"/>
      <c r="P334" s="10"/>
      <c r="Q334" s="11"/>
      <c r="R334" s="11"/>
      <c r="S334" s="11"/>
      <c r="T334" s="11"/>
      <c r="U334" s="11"/>
      <c r="V334" s="11"/>
      <c r="W334" s="11"/>
      <c r="X334" s="11"/>
      <c r="Y334" s="11"/>
      <c r="Z334" s="12"/>
      <c r="AA334" s="12"/>
      <c r="AB334" s="12"/>
      <c r="AC334" s="12"/>
      <c r="AD334" s="12"/>
      <c r="AE334" s="12"/>
      <c r="AF334" s="12"/>
    </row>
    <row r="335" ht="46.5" customHeight="1">
      <c r="A335" s="1"/>
      <c r="B335" s="2"/>
      <c r="C335" s="2"/>
      <c r="D335" s="3"/>
      <c r="E335" s="3"/>
      <c r="F335" s="3"/>
      <c r="G335" s="3"/>
      <c r="H335" s="4"/>
      <c r="I335" s="5"/>
      <c r="J335" s="6"/>
      <c r="K335" s="7"/>
      <c r="L335" s="8"/>
      <c r="M335" s="9"/>
      <c r="N335" s="9"/>
      <c r="O335" s="9"/>
      <c r="P335" s="10"/>
      <c r="Q335" s="11"/>
      <c r="R335" s="11"/>
      <c r="S335" s="11"/>
      <c r="T335" s="11"/>
      <c r="U335" s="11"/>
      <c r="V335" s="11"/>
      <c r="W335" s="11"/>
      <c r="X335" s="11"/>
      <c r="Y335" s="11"/>
      <c r="Z335" s="12"/>
      <c r="AA335" s="12"/>
      <c r="AB335" s="12"/>
      <c r="AC335" s="12"/>
      <c r="AD335" s="12"/>
      <c r="AE335" s="12"/>
      <c r="AF335" s="12"/>
    </row>
    <row r="336" ht="46.5" customHeight="1">
      <c r="A336" s="1"/>
      <c r="B336" s="2"/>
      <c r="C336" s="2"/>
      <c r="D336" s="3"/>
      <c r="E336" s="3"/>
      <c r="F336" s="3"/>
      <c r="G336" s="3"/>
      <c r="H336" s="4"/>
      <c r="I336" s="5"/>
      <c r="J336" s="6"/>
      <c r="K336" s="7"/>
      <c r="L336" s="8"/>
      <c r="M336" s="9"/>
      <c r="N336" s="9"/>
      <c r="O336" s="9"/>
      <c r="P336" s="10"/>
      <c r="Q336" s="11"/>
      <c r="R336" s="11"/>
      <c r="S336" s="11"/>
      <c r="T336" s="11"/>
      <c r="U336" s="11"/>
      <c r="V336" s="11"/>
      <c r="W336" s="11"/>
      <c r="X336" s="11"/>
      <c r="Y336" s="11"/>
      <c r="Z336" s="12"/>
      <c r="AA336" s="12"/>
      <c r="AB336" s="12"/>
      <c r="AC336" s="12"/>
      <c r="AD336" s="12"/>
      <c r="AE336" s="12"/>
      <c r="AF336" s="12"/>
    </row>
    <row r="337" ht="46.5" customHeight="1">
      <c r="A337" s="1"/>
      <c r="B337" s="2"/>
      <c r="C337" s="2"/>
      <c r="D337" s="3"/>
      <c r="E337" s="3"/>
      <c r="F337" s="3"/>
      <c r="G337" s="3"/>
      <c r="H337" s="4"/>
      <c r="I337" s="5"/>
      <c r="J337" s="6"/>
      <c r="K337" s="7"/>
      <c r="L337" s="8"/>
      <c r="M337" s="9"/>
      <c r="N337" s="9"/>
      <c r="O337" s="9"/>
      <c r="P337" s="10"/>
      <c r="Q337" s="11"/>
      <c r="R337" s="11"/>
      <c r="S337" s="11"/>
      <c r="T337" s="11"/>
      <c r="U337" s="11"/>
      <c r="V337" s="11"/>
      <c r="W337" s="11"/>
      <c r="X337" s="11"/>
      <c r="Y337" s="11"/>
      <c r="Z337" s="12"/>
      <c r="AA337" s="12"/>
      <c r="AB337" s="12"/>
      <c r="AC337" s="12"/>
      <c r="AD337" s="12"/>
      <c r="AE337" s="12"/>
      <c r="AF337" s="12"/>
    </row>
    <row r="338" ht="46.5" customHeight="1">
      <c r="A338" s="1"/>
      <c r="B338" s="2"/>
      <c r="C338" s="2"/>
      <c r="D338" s="3"/>
      <c r="E338" s="3"/>
      <c r="F338" s="3"/>
      <c r="G338" s="3"/>
      <c r="H338" s="4"/>
      <c r="I338" s="5"/>
      <c r="J338" s="6"/>
      <c r="K338" s="7"/>
      <c r="L338" s="8"/>
      <c r="M338" s="9"/>
      <c r="N338" s="9"/>
      <c r="O338" s="9"/>
      <c r="P338" s="10"/>
      <c r="Q338" s="11"/>
      <c r="R338" s="11"/>
      <c r="S338" s="11"/>
      <c r="T338" s="11"/>
      <c r="U338" s="11"/>
      <c r="V338" s="11"/>
      <c r="W338" s="11"/>
      <c r="X338" s="11"/>
      <c r="Y338" s="11"/>
      <c r="Z338" s="12"/>
      <c r="AA338" s="12"/>
      <c r="AB338" s="12"/>
      <c r="AC338" s="12"/>
      <c r="AD338" s="12"/>
      <c r="AE338" s="12"/>
      <c r="AF338" s="12"/>
    </row>
    <row r="339" ht="46.5" customHeight="1">
      <c r="A339" s="1"/>
      <c r="B339" s="2"/>
      <c r="C339" s="2"/>
      <c r="D339" s="3"/>
      <c r="E339" s="3"/>
      <c r="F339" s="3"/>
      <c r="G339" s="3"/>
      <c r="H339" s="4"/>
      <c r="I339" s="5"/>
      <c r="J339" s="6"/>
      <c r="K339" s="7"/>
      <c r="L339" s="8"/>
      <c r="M339" s="9"/>
      <c r="N339" s="9"/>
      <c r="O339" s="9"/>
      <c r="P339" s="10"/>
      <c r="Q339" s="11"/>
      <c r="R339" s="11"/>
      <c r="S339" s="11"/>
      <c r="T339" s="11"/>
      <c r="U339" s="11"/>
      <c r="V339" s="11"/>
      <c r="W339" s="11"/>
      <c r="X339" s="11"/>
      <c r="Y339" s="11"/>
      <c r="Z339" s="12"/>
      <c r="AA339" s="12"/>
      <c r="AB339" s="12"/>
      <c r="AC339" s="12"/>
      <c r="AD339" s="12"/>
      <c r="AE339" s="12"/>
      <c r="AF339" s="12"/>
    </row>
    <row r="340" ht="46.5" customHeight="1">
      <c r="A340" s="1"/>
      <c r="B340" s="2"/>
      <c r="C340" s="2"/>
      <c r="D340" s="3"/>
      <c r="E340" s="3"/>
      <c r="F340" s="3"/>
      <c r="G340" s="3"/>
      <c r="H340" s="4"/>
      <c r="I340" s="5"/>
      <c r="J340" s="6"/>
      <c r="K340" s="7"/>
      <c r="L340" s="8"/>
      <c r="M340" s="9"/>
      <c r="N340" s="9"/>
      <c r="O340" s="9"/>
      <c r="P340" s="10"/>
      <c r="Q340" s="11"/>
      <c r="R340" s="11"/>
      <c r="S340" s="11"/>
      <c r="T340" s="11"/>
      <c r="U340" s="11"/>
      <c r="V340" s="11"/>
      <c r="W340" s="11"/>
      <c r="X340" s="11"/>
      <c r="Y340" s="11"/>
      <c r="Z340" s="12"/>
      <c r="AA340" s="12"/>
      <c r="AB340" s="12"/>
      <c r="AC340" s="12"/>
      <c r="AD340" s="12"/>
      <c r="AE340" s="12"/>
      <c r="AF340" s="12"/>
    </row>
    <row r="341" ht="46.5" customHeight="1">
      <c r="A341" s="1"/>
      <c r="B341" s="2"/>
      <c r="C341" s="2"/>
      <c r="D341" s="3"/>
      <c r="E341" s="3"/>
      <c r="F341" s="3"/>
      <c r="G341" s="3"/>
      <c r="H341" s="4"/>
      <c r="I341" s="5"/>
      <c r="J341" s="6"/>
      <c r="K341" s="7"/>
      <c r="L341" s="8"/>
      <c r="M341" s="9"/>
      <c r="N341" s="9"/>
      <c r="O341" s="9"/>
      <c r="P341" s="10"/>
      <c r="Q341" s="11"/>
      <c r="R341" s="11"/>
      <c r="S341" s="11"/>
      <c r="T341" s="11"/>
      <c r="U341" s="11"/>
      <c r="V341" s="11"/>
      <c r="W341" s="11"/>
      <c r="X341" s="11"/>
      <c r="Y341" s="11"/>
      <c r="Z341" s="12"/>
      <c r="AA341" s="12"/>
      <c r="AB341" s="12"/>
      <c r="AC341" s="12"/>
      <c r="AD341" s="12"/>
      <c r="AE341" s="12"/>
      <c r="AF341" s="12"/>
    </row>
    <row r="342" ht="46.5" customHeight="1">
      <c r="A342" s="1"/>
      <c r="B342" s="2"/>
      <c r="C342" s="2"/>
      <c r="D342" s="3"/>
      <c r="E342" s="3"/>
      <c r="F342" s="3"/>
      <c r="G342" s="3"/>
      <c r="H342" s="4"/>
      <c r="I342" s="5"/>
      <c r="J342" s="6"/>
      <c r="K342" s="7"/>
      <c r="L342" s="8"/>
      <c r="M342" s="9"/>
      <c r="N342" s="9"/>
      <c r="O342" s="9"/>
      <c r="P342" s="10"/>
      <c r="Q342" s="11"/>
      <c r="R342" s="11"/>
      <c r="S342" s="11"/>
      <c r="T342" s="11"/>
      <c r="U342" s="11"/>
      <c r="V342" s="11"/>
      <c r="W342" s="11"/>
      <c r="X342" s="11"/>
      <c r="Y342" s="11"/>
      <c r="Z342" s="12"/>
      <c r="AA342" s="12"/>
      <c r="AB342" s="12"/>
      <c r="AC342" s="12"/>
      <c r="AD342" s="12"/>
      <c r="AE342" s="12"/>
      <c r="AF342" s="12"/>
    </row>
    <row r="343" ht="46.5" customHeight="1">
      <c r="A343" s="1"/>
      <c r="B343" s="2"/>
      <c r="C343" s="2"/>
      <c r="D343" s="3"/>
      <c r="E343" s="3"/>
      <c r="F343" s="3"/>
      <c r="G343" s="3"/>
      <c r="H343" s="4"/>
      <c r="I343" s="5"/>
      <c r="J343" s="6"/>
      <c r="K343" s="7"/>
      <c r="L343" s="8"/>
      <c r="M343" s="9"/>
      <c r="N343" s="9"/>
      <c r="O343" s="9"/>
      <c r="P343" s="10"/>
      <c r="Q343" s="11"/>
      <c r="R343" s="11"/>
      <c r="S343" s="11"/>
      <c r="T343" s="11"/>
      <c r="U343" s="11"/>
      <c r="V343" s="11"/>
      <c r="W343" s="11"/>
      <c r="X343" s="11"/>
      <c r="Y343" s="11"/>
      <c r="Z343" s="12"/>
      <c r="AA343" s="12"/>
      <c r="AB343" s="12"/>
      <c r="AC343" s="12"/>
      <c r="AD343" s="12"/>
      <c r="AE343" s="12"/>
      <c r="AF343" s="12"/>
    </row>
    <row r="344" ht="46.5" customHeight="1">
      <c r="A344" s="1"/>
      <c r="B344" s="2"/>
      <c r="C344" s="2"/>
      <c r="D344" s="3"/>
      <c r="E344" s="3"/>
      <c r="F344" s="3"/>
      <c r="G344" s="3"/>
      <c r="H344" s="4"/>
      <c r="I344" s="5"/>
      <c r="J344" s="6"/>
      <c r="K344" s="7"/>
      <c r="L344" s="8"/>
      <c r="M344" s="9"/>
      <c r="N344" s="9"/>
      <c r="O344" s="9"/>
      <c r="P344" s="10"/>
      <c r="Q344" s="11"/>
      <c r="R344" s="11"/>
      <c r="S344" s="11"/>
      <c r="T344" s="11"/>
      <c r="U344" s="11"/>
      <c r="V344" s="11"/>
      <c r="W344" s="11"/>
      <c r="X344" s="11"/>
      <c r="Y344" s="11"/>
      <c r="Z344" s="12"/>
      <c r="AA344" s="12"/>
      <c r="AB344" s="12"/>
      <c r="AC344" s="12"/>
      <c r="AD344" s="12"/>
      <c r="AE344" s="12"/>
      <c r="AF344" s="12"/>
    </row>
    <row r="345" ht="46.5" customHeight="1">
      <c r="A345" s="1"/>
      <c r="B345" s="2"/>
      <c r="C345" s="2"/>
      <c r="D345" s="3"/>
      <c r="E345" s="3"/>
      <c r="F345" s="3"/>
      <c r="G345" s="3"/>
      <c r="H345" s="4"/>
      <c r="I345" s="5"/>
      <c r="J345" s="6"/>
      <c r="K345" s="7"/>
      <c r="L345" s="8"/>
      <c r="M345" s="9"/>
      <c r="N345" s="9"/>
      <c r="O345" s="9"/>
      <c r="P345" s="10"/>
      <c r="Q345" s="11"/>
      <c r="R345" s="11"/>
      <c r="S345" s="11"/>
      <c r="T345" s="11"/>
      <c r="U345" s="11"/>
      <c r="V345" s="11"/>
      <c r="W345" s="11"/>
      <c r="X345" s="11"/>
      <c r="Y345" s="11"/>
      <c r="Z345" s="12"/>
      <c r="AA345" s="12"/>
      <c r="AB345" s="12"/>
      <c r="AC345" s="12"/>
      <c r="AD345" s="12"/>
      <c r="AE345" s="12"/>
      <c r="AF345" s="12"/>
    </row>
    <row r="346" ht="46.5" customHeight="1">
      <c r="A346" s="1"/>
      <c r="B346" s="2"/>
      <c r="C346" s="2"/>
      <c r="D346" s="3"/>
      <c r="E346" s="3"/>
      <c r="F346" s="3"/>
      <c r="G346" s="3"/>
      <c r="H346" s="4"/>
      <c r="I346" s="5"/>
      <c r="J346" s="6"/>
      <c r="K346" s="7"/>
      <c r="L346" s="8"/>
      <c r="M346" s="9"/>
      <c r="N346" s="9"/>
      <c r="O346" s="9"/>
      <c r="P346" s="10"/>
      <c r="Q346" s="11"/>
      <c r="R346" s="11"/>
      <c r="S346" s="11"/>
      <c r="T346" s="11"/>
      <c r="U346" s="11"/>
      <c r="V346" s="11"/>
      <c r="W346" s="11"/>
      <c r="X346" s="11"/>
      <c r="Y346" s="11"/>
      <c r="Z346" s="12"/>
      <c r="AA346" s="12"/>
      <c r="AB346" s="12"/>
      <c r="AC346" s="12"/>
      <c r="AD346" s="12"/>
      <c r="AE346" s="12"/>
      <c r="AF346" s="12"/>
    </row>
    <row r="347" ht="46.5" customHeight="1">
      <c r="A347" s="1"/>
      <c r="B347" s="2"/>
      <c r="C347" s="2"/>
      <c r="D347" s="3"/>
      <c r="E347" s="3"/>
      <c r="F347" s="3"/>
      <c r="G347" s="3"/>
      <c r="H347" s="4"/>
      <c r="I347" s="5"/>
      <c r="J347" s="6"/>
      <c r="K347" s="7"/>
      <c r="L347" s="8"/>
      <c r="M347" s="9"/>
      <c r="N347" s="9"/>
      <c r="O347" s="9"/>
      <c r="P347" s="10"/>
      <c r="Q347" s="11"/>
      <c r="R347" s="11"/>
      <c r="S347" s="11"/>
      <c r="T347" s="11"/>
      <c r="U347" s="11"/>
      <c r="V347" s="11"/>
      <c r="W347" s="11"/>
      <c r="X347" s="11"/>
      <c r="Y347" s="11"/>
      <c r="Z347" s="12"/>
      <c r="AA347" s="12"/>
      <c r="AB347" s="12"/>
      <c r="AC347" s="12"/>
      <c r="AD347" s="12"/>
      <c r="AE347" s="12"/>
      <c r="AF347" s="12"/>
    </row>
    <row r="348" ht="46.5" customHeight="1">
      <c r="A348" s="1"/>
      <c r="B348" s="2"/>
      <c r="C348" s="2"/>
      <c r="D348" s="3"/>
      <c r="E348" s="3"/>
      <c r="F348" s="3"/>
      <c r="G348" s="3"/>
      <c r="H348" s="4"/>
      <c r="I348" s="5"/>
      <c r="J348" s="6"/>
      <c r="K348" s="7"/>
      <c r="L348" s="8"/>
      <c r="M348" s="9"/>
      <c r="N348" s="9"/>
      <c r="O348" s="9"/>
      <c r="P348" s="10"/>
      <c r="Q348" s="11"/>
      <c r="R348" s="11"/>
      <c r="S348" s="11"/>
      <c r="T348" s="11"/>
      <c r="U348" s="11"/>
      <c r="V348" s="11"/>
      <c r="W348" s="11"/>
      <c r="X348" s="11"/>
      <c r="Y348" s="11"/>
      <c r="Z348" s="12"/>
      <c r="AA348" s="12"/>
      <c r="AB348" s="12"/>
      <c r="AC348" s="12"/>
      <c r="AD348" s="12"/>
      <c r="AE348" s="12"/>
      <c r="AF348" s="12"/>
    </row>
    <row r="349" ht="46.5" customHeight="1">
      <c r="A349" s="1"/>
      <c r="B349" s="2"/>
      <c r="C349" s="2"/>
      <c r="D349" s="3"/>
      <c r="E349" s="3"/>
      <c r="F349" s="3"/>
      <c r="G349" s="3"/>
      <c r="H349" s="4"/>
      <c r="I349" s="5"/>
      <c r="J349" s="6"/>
      <c r="K349" s="7"/>
      <c r="L349" s="8"/>
      <c r="M349" s="9"/>
      <c r="N349" s="9"/>
      <c r="O349" s="9"/>
      <c r="P349" s="10"/>
      <c r="Q349" s="11"/>
      <c r="R349" s="11"/>
      <c r="S349" s="11"/>
      <c r="T349" s="11"/>
      <c r="U349" s="11"/>
      <c r="V349" s="11"/>
      <c r="W349" s="11"/>
      <c r="X349" s="11"/>
      <c r="Y349" s="11"/>
      <c r="Z349" s="12"/>
      <c r="AA349" s="12"/>
      <c r="AB349" s="12"/>
      <c r="AC349" s="12"/>
      <c r="AD349" s="12"/>
      <c r="AE349" s="12"/>
      <c r="AF349" s="12"/>
    </row>
    <row r="350" ht="46.5" customHeight="1">
      <c r="A350" s="1"/>
      <c r="B350" s="2"/>
      <c r="C350" s="2"/>
      <c r="D350" s="3"/>
      <c r="E350" s="3"/>
      <c r="F350" s="3"/>
      <c r="G350" s="3"/>
      <c r="H350" s="4"/>
      <c r="I350" s="5"/>
      <c r="J350" s="6"/>
      <c r="K350" s="7"/>
      <c r="L350" s="8"/>
      <c r="M350" s="9"/>
      <c r="N350" s="9"/>
      <c r="O350" s="9"/>
      <c r="P350" s="10"/>
      <c r="Q350" s="11"/>
      <c r="R350" s="11"/>
      <c r="S350" s="11"/>
      <c r="T350" s="11"/>
      <c r="U350" s="11"/>
      <c r="V350" s="11"/>
      <c r="W350" s="11"/>
      <c r="X350" s="11"/>
      <c r="Y350" s="11"/>
      <c r="Z350" s="12"/>
      <c r="AA350" s="12"/>
      <c r="AB350" s="12"/>
      <c r="AC350" s="12"/>
      <c r="AD350" s="12"/>
      <c r="AE350" s="12"/>
      <c r="AF350" s="12"/>
    </row>
    <row r="351" ht="46.5" customHeight="1">
      <c r="A351" s="1"/>
      <c r="B351" s="2"/>
      <c r="C351" s="2"/>
      <c r="D351" s="3"/>
      <c r="E351" s="3"/>
      <c r="F351" s="3"/>
      <c r="G351" s="3"/>
      <c r="H351" s="4"/>
      <c r="I351" s="5"/>
      <c r="J351" s="6"/>
      <c r="K351" s="7"/>
      <c r="L351" s="8"/>
      <c r="M351" s="9"/>
      <c r="N351" s="9"/>
      <c r="O351" s="9"/>
      <c r="P351" s="10"/>
      <c r="Q351" s="11"/>
      <c r="R351" s="11"/>
      <c r="S351" s="11"/>
      <c r="T351" s="11"/>
      <c r="U351" s="11"/>
      <c r="V351" s="11"/>
      <c r="W351" s="11"/>
      <c r="X351" s="11"/>
      <c r="Y351" s="11"/>
      <c r="Z351" s="12"/>
      <c r="AA351" s="12"/>
      <c r="AB351" s="12"/>
      <c r="AC351" s="12"/>
      <c r="AD351" s="12"/>
      <c r="AE351" s="12"/>
      <c r="AF351" s="12"/>
    </row>
    <row r="352" ht="46.5" customHeight="1">
      <c r="A352" s="1"/>
      <c r="B352" s="2"/>
      <c r="C352" s="2"/>
      <c r="D352" s="3"/>
      <c r="E352" s="3"/>
      <c r="F352" s="3"/>
      <c r="G352" s="3"/>
      <c r="H352" s="4"/>
      <c r="I352" s="5"/>
      <c r="J352" s="6"/>
      <c r="K352" s="7"/>
      <c r="L352" s="8"/>
      <c r="M352" s="9"/>
      <c r="N352" s="9"/>
      <c r="O352" s="9"/>
      <c r="P352" s="10"/>
      <c r="Q352" s="11"/>
      <c r="R352" s="11"/>
      <c r="S352" s="11"/>
      <c r="T352" s="11"/>
      <c r="U352" s="11"/>
      <c r="V352" s="11"/>
      <c r="W352" s="11"/>
      <c r="X352" s="11"/>
      <c r="Y352" s="11"/>
      <c r="Z352" s="12"/>
      <c r="AA352" s="12"/>
      <c r="AB352" s="12"/>
      <c r="AC352" s="12"/>
      <c r="AD352" s="12"/>
      <c r="AE352" s="12"/>
      <c r="AF352" s="12"/>
    </row>
    <row r="353" ht="46.5" customHeight="1">
      <c r="A353" s="1"/>
      <c r="B353" s="2"/>
      <c r="C353" s="2"/>
      <c r="D353" s="3"/>
      <c r="E353" s="3"/>
      <c r="F353" s="3"/>
      <c r="G353" s="3"/>
      <c r="H353" s="4"/>
      <c r="I353" s="5"/>
      <c r="J353" s="6"/>
      <c r="K353" s="7"/>
      <c r="L353" s="8"/>
      <c r="M353" s="9"/>
      <c r="N353" s="9"/>
      <c r="O353" s="9"/>
      <c r="P353" s="10"/>
      <c r="Q353" s="11"/>
      <c r="R353" s="11"/>
      <c r="S353" s="11"/>
      <c r="T353" s="11"/>
      <c r="U353" s="11"/>
      <c r="V353" s="11"/>
      <c r="W353" s="11"/>
      <c r="X353" s="11"/>
      <c r="Y353" s="11"/>
      <c r="Z353" s="12"/>
      <c r="AA353" s="12"/>
      <c r="AB353" s="12"/>
      <c r="AC353" s="12"/>
      <c r="AD353" s="12"/>
      <c r="AE353" s="12"/>
      <c r="AF353" s="12"/>
    </row>
    <row r="354" ht="46.5" customHeight="1">
      <c r="A354" s="1"/>
      <c r="B354" s="2"/>
      <c r="C354" s="2"/>
      <c r="D354" s="3"/>
      <c r="E354" s="3"/>
      <c r="F354" s="3"/>
      <c r="G354" s="3"/>
      <c r="H354" s="4"/>
      <c r="I354" s="5"/>
      <c r="J354" s="6"/>
      <c r="K354" s="7"/>
      <c r="L354" s="8"/>
      <c r="M354" s="9"/>
      <c r="N354" s="9"/>
      <c r="O354" s="9"/>
      <c r="P354" s="10"/>
      <c r="Q354" s="11"/>
      <c r="R354" s="11"/>
      <c r="S354" s="11"/>
      <c r="T354" s="11"/>
      <c r="U354" s="11"/>
      <c r="V354" s="11"/>
      <c r="W354" s="11"/>
      <c r="X354" s="11"/>
      <c r="Y354" s="11"/>
      <c r="Z354" s="12"/>
      <c r="AA354" s="12"/>
      <c r="AB354" s="12"/>
      <c r="AC354" s="12"/>
      <c r="AD354" s="12"/>
      <c r="AE354" s="12"/>
      <c r="AF354" s="12"/>
    </row>
    <row r="355" ht="46.5" customHeight="1">
      <c r="A355" s="1"/>
      <c r="B355" s="2"/>
      <c r="C355" s="2"/>
      <c r="D355" s="3"/>
      <c r="E355" s="3"/>
      <c r="F355" s="3"/>
      <c r="G355" s="3"/>
      <c r="H355" s="4"/>
      <c r="I355" s="5"/>
      <c r="J355" s="6"/>
      <c r="K355" s="7"/>
      <c r="L355" s="8"/>
      <c r="M355" s="9"/>
      <c r="N355" s="9"/>
      <c r="O355" s="9"/>
      <c r="P355" s="10"/>
      <c r="Q355" s="11"/>
      <c r="R355" s="11"/>
      <c r="S355" s="11"/>
      <c r="T355" s="11"/>
      <c r="U355" s="11"/>
      <c r="V355" s="11"/>
      <c r="W355" s="11"/>
      <c r="X355" s="11"/>
      <c r="Y355" s="11"/>
      <c r="Z355" s="12"/>
      <c r="AA355" s="12"/>
      <c r="AB355" s="12"/>
      <c r="AC355" s="12"/>
      <c r="AD355" s="12"/>
      <c r="AE355" s="12"/>
      <c r="AF355" s="12"/>
    </row>
    <row r="356" ht="46.5" customHeight="1">
      <c r="A356" s="1"/>
      <c r="B356" s="2"/>
      <c r="C356" s="2"/>
      <c r="D356" s="3"/>
      <c r="E356" s="3"/>
      <c r="F356" s="3"/>
      <c r="G356" s="3"/>
      <c r="H356" s="4"/>
      <c r="I356" s="5"/>
      <c r="J356" s="6"/>
      <c r="K356" s="7"/>
      <c r="L356" s="8"/>
      <c r="M356" s="9"/>
      <c r="N356" s="9"/>
      <c r="O356" s="9"/>
      <c r="P356" s="10"/>
      <c r="Q356" s="11"/>
      <c r="R356" s="11"/>
      <c r="S356" s="11"/>
      <c r="T356" s="11"/>
      <c r="U356" s="11"/>
      <c r="V356" s="11"/>
      <c r="W356" s="11"/>
      <c r="X356" s="11"/>
      <c r="Y356" s="11"/>
      <c r="Z356" s="12"/>
      <c r="AA356" s="12"/>
      <c r="AB356" s="12"/>
      <c r="AC356" s="12"/>
      <c r="AD356" s="12"/>
      <c r="AE356" s="12"/>
      <c r="AF356" s="12"/>
    </row>
    <row r="357" ht="46.5" customHeight="1">
      <c r="A357" s="1"/>
      <c r="B357" s="2"/>
      <c r="C357" s="2"/>
      <c r="D357" s="3"/>
      <c r="E357" s="3"/>
      <c r="F357" s="3"/>
      <c r="G357" s="3"/>
      <c r="H357" s="4"/>
      <c r="I357" s="5"/>
      <c r="J357" s="6"/>
      <c r="K357" s="7"/>
      <c r="L357" s="8"/>
      <c r="M357" s="9"/>
      <c r="N357" s="9"/>
      <c r="O357" s="9"/>
      <c r="P357" s="10"/>
      <c r="Q357" s="11"/>
      <c r="R357" s="11"/>
      <c r="S357" s="11"/>
      <c r="T357" s="11"/>
      <c r="U357" s="11"/>
      <c r="V357" s="11"/>
      <c r="W357" s="11"/>
      <c r="X357" s="11"/>
      <c r="Y357" s="11"/>
      <c r="Z357" s="12"/>
      <c r="AA357" s="12"/>
      <c r="AB357" s="12"/>
      <c r="AC357" s="12"/>
      <c r="AD357" s="12"/>
      <c r="AE357" s="12"/>
      <c r="AF357" s="12"/>
    </row>
    <row r="358" ht="46.5" customHeight="1">
      <c r="A358" s="1"/>
      <c r="B358" s="2"/>
      <c r="C358" s="2"/>
      <c r="D358" s="3"/>
      <c r="E358" s="3"/>
      <c r="F358" s="3"/>
      <c r="G358" s="3"/>
      <c r="H358" s="4"/>
      <c r="I358" s="5"/>
      <c r="J358" s="6"/>
      <c r="K358" s="7"/>
      <c r="L358" s="8"/>
      <c r="M358" s="9"/>
      <c r="N358" s="9"/>
      <c r="O358" s="9"/>
      <c r="P358" s="10"/>
      <c r="Q358" s="11"/>
      <c r="R358" s="11"/>
      <c r="S358" s="11"/>
      <c r="T358" s="11"/>
      <c r="U358" s="11"/>
      <c r="V358" s="11"/>
      <c r="W358" s="11"/>
      <c r="X358" s="11"/>
      <c r="Y358" s="11"/>
      <c r="Z358" s="12"/>
      <c r="AA358" s="12"/>
      <c r="AB358" s="12"/>
      <c r="AC358" s="12"/>
      <c r="AD358" s="12"/>
      <c r="AE358" s="12"/>
      <c r="AF358" s="12"/>
    </row>
    <row r="359" ht="46.5" customHeight="1">
      <c r="A359" s="1"/>
      <c r="B359" s="2"/>
      <c r="C359" s="2"/>
      <c r="D359" s="3"/>
      <c r="E359" s="3"/>
      <c r="F359" s="3"/>
      <c r="G359" s="3"/>
      <c r="H359" s="4"/>
      <c r="I359" s="5"/>
      <c r="J359" s="6"/>
      <c r="K359" s="7"/>
      <c r="L359" s="8"/>
      <c r="M359" s="9"/>
      <c r="N359" s="9"/>
      <c r="O359" s="9"/>
      <c r="P359" s="10"/>
      <c r="Q359" s="11"/>
      <c r="R359" s="11"/>
      <c r="S359" s="11"/>
      <c r="T359" s="11"/>
      <c r="U359" s="11"/>
      <c r="V359" s="11"/>
      <c r="W359" s="11"/>
      <c r="X359" s="11"/>
      <c r="Y359" s="11"/>
      <c r="Z359" s="12"/>
      <c r="AA359" s="12"/>
      <c r="AB359" s="12"/>
      <c r="AC359" s="12"/>
      <c r="AD359" s="12"/>
      <c r="AE359" s="12"/>
      <c r="AF359" s="12"/>
    </row>
    <row r="360" ht="46.5" customHeight="1">
      <c r="A360" s="1"/>
      <c r="B360" s="2"/>
      <c r="C360" s="2"/>
      <c r="D360" s="3"/>
      <c r="E360" s="3"/>
      <c r="F360" s="3"/>
      <c r="G360" s="3"/>
      <c r="H360" s="4"/>
      <c r="I360" s="5"/>
      <c r="J360" s="6"/>
      <c r="K360" s="7"/>
      <c r="L360" s="8"/>
      <c r="M360" s="9"/>
      <c r="N360" s="9"/>
      <c r="O360" s="9"/>
      <c r="P360" s="10"/>
      <c r="Q360" s="11"/>
      <c r="R360" s="11"/>
      <c r="S360" s="11"/>
      <c r="T360" s="11"/>
      <c r="U360" s="11"/>
      <c r="V360" s="11"/>
      <c r="W360" s="11"/>
      <c r="X360" s="11"/>
      <c r="Y360" s="11"/>
      <c r="Z360" s="12"/>
      <c r="AA360" s="12"/>
      <c r="AB360" s="12"/>
      <c r="AC360" s="12"/>
      <c r="AD360" s="12"/>
      <c r="AE360" s="12"/>
      <c r="AF360" s="12"/>
    </row>
    <row r="361" ht="46.5" customHeight="1">
      <c r="A361" s="1"/>
      <c r="B361" s="2"/>
      <c r="C361" s="2"/>
      <c r="D361" s="3"/>
      <c r="E361" s="3"/>
      <c r="F361" s="3"/>
      <c r="G361" s="3"/>
      <c r="H361" s="4"/>
      <c r="I361" s="5"/>
      <c r="J361" s="6"/>
      <c r="K361" s="7"/>
      <c r="L361" s="8"/>
      <c r="M361" s="9"/>
      <c r="N361" s="9"/>
      <c r="O361" s="9"/>
      <c r="P361" s="10"/>
      <c r="Q361" s="11"/>
      <c r="R361" s="11"/>
      <c r="S361" s="11"/>
      <c r="T361" s="11"/>
      <c r="U361" s="11"/>
      <c r="V361" s="11"/>
      <c r="W361" s="11"/>
      <c r="X361" s="11"/>
      <c r="Y361" s="11"/>
      <c r="Z361" s="12"/>
      <c r="AA361" s="12"/>
      <c r="AB361" s="12"/>
      <c r="AC361" s="12"/>
      <c r="AD361" s="12"/>
      <c r="AE361" s="12"/>
      <c r="AF361" s="12"/>
    </row>
    <row r="362" ht="46.5" customHeight="1">
      <c r="A362" s="1"/>
      <c r="B362" s="2"/>
      <c r="C362" s="2"/>
      <c r="D362" s="3"/>
      <c r="E362" s="3"/>
      <c r="F362" s="3"/>
      <c r="G362" s="3"/>
      <c r="H362" s="4"/>
      <c r="I362" s="5"/>
      <c r="J362" s="6"/>
      <c r="K362" s="7"/>
      <c r="L362" s="8"/>
      <c r="M362" s="9"/>
      <c r="N362" s="9"/>
      <c r="O362" s="9"/>
      <c r="P362" s="10"/>
      <c r="Q362" s="11"/>
      <c r="R362" s="11"/>
      <c r="S362" s="11"/>
      <c r="T362" s="11"/>
      <c r="U362" s="11"/>
      <c r="V362" s="11"/>
      <c r="W362" s="11"/>
      <c r="X362" s="11"/>
      <c r="Y362" s="11"/>
      <c r="Z362" s="12"/>
      <c r="AA362" s="12"/>
      <c r="AB362" s="12"/>
      <c r="AC362" s="12"/>
      <c r="AD362" s="12"/>
      <c r="AE362" s="12"/>
      <c r="AF362" s="12"/>
    </row>
    <row r="363" ht="46.5" customHeight="1">
      <c r="A363" s="1"/>
      <c r="B363" s="2"/>
      <c r="C363" s="2"/>
      <c r="D363" s="3"/>
      <c r="E363" s="3"/>
      <c r="F363" s="3"/>
      <c r="G363" s="3"/>
      <c r="H363" s="4"/>
      <c r="I363" s="5"/>
      <c r="J363" s="6"/>
      <c r="K363" s="7"/>
      <c r="L363" s="8"/>
      <c r="M363" s="9"/>
      <c r="N363" s="9"/>
      <c r="O363" s="9"/>
      <c r="P363" s="10"/>
      <c r="Q363" s="11"/>
      <c r="R363" s="11"/>
      <c r="S363" s="11"/>
      <c r="T363" s="11"/>
      <c r="U363" s="11"/>
      <c r="V363" s="11"/>
      <c r="W363" s="11"/>
      <c r="X363" s="11"/>
      <c r="Y363" s="11"/>
      <c r="Z363" s="12"/>
      <c r="AA363" s="12"/>
      <c r="AB363" s="12"/>
      <c r="AC363" s="12"/>
      <c r="AD363" s="12"/>
      <c r="AE363" s="12"/>
      <c r="AF363" s="12"/>
    </row>
    <row r="364" ht="46.5" customHeight="1">
      <c r="A364" s="1"/>
      <c r="B364" s="2"/>
      <c r="C364" s="2"/>
      <c r="D364" s="3"/>
      <c r="E364" s="3"/>
      <c r="F364" s="3"/>
      <c r="G364" s="3"/>
      <c r="H364" s="4"/>
      <c r="I364" s="5"/>
      <c r="J364" s="6"/>
      <c r="K364" s="7"/>
      <c r="L364" s="8"/>
      <c r="M364" s="9"/>
      <c r="N364" s="9"/>
      <c r="O364" s="9"/>
      <c r="P364" s="10"/>
      <c r="Q364" s="11"/>
      <c r="R364" s="11"/>
      <c r="S364" s="11"/>
      <c r="T364" s="11"/>
      <c r="U364" s="11"/>
      <c r="V364" s="11"/>
      <c r="W364" s="11"/>
      <c r="X364" s="11"/>
      <c r="Y364" s="11"/>
      <c r="Z364" s="12"/>
      <c r="AA364" s="12"/>
      <c r="AB364" s="12"/>
      <c r="AC364" s="12"/>
      <c r="AD364" s="12"/>
      <c r="AE364" s="12"/>
      <c r="AF364" s="12"/>
    </row>
    <row r="365" ht="46.5" customHeight="1">
      <c r="A365" s="1"/>
      <c r="B365" s="2"/>
      <c r="C365" s="2"/>
      <c r="D365" s="3"/>
      <c r="E365" s="3"/>
      <c r="F365" s="3"/>
      <c r="G365" s="3"/>
      <c r="H365" s="4"/>
      <c r="I365" s="5"/>
      <c r="J365" s="6"/>
      <c r="K365" s="7"/>
      <c r="L365" s="8"/>
      <c r="M365" s="9"/>
      <c r="N365" s="9"/>
      <c r="O365" s="9"/>
      <c r="P365" s="10"/>
      <c r="Q365" s="11"/>
      <c r="R365" s="11"/>
      <c r="S365" s="11"/>
      <c r="T365" s="11"/>
      <c r="U365" s="11"/>
      <c r="V365" s="11"/>
      <c r="W365" s="11"/>
      <c r="X365" s="11"/>
      <c r="Y365" s="11"/>
      <c r="Z365" s="12"/>
      <c r="AA365" s="12"/>
      <c r="AB365" s="12"/>
      <c r="AC365" s="12"/>
      <c r="AD365" s="12"/>
      <c r="AE365" s="12"/>
      <c r="AF365" s="12"/>
    </row>
    <row r="366" ht="46.5" customHeight="1">
      <c r="A366" s="1"/>
      <c r="B366" s="2"/>
      <c r="C366" s="2"/>
      <c r="D366" s="3"/>
      <c r="E366" s="3"/>
      <c r="F366" s="3"/>
      <c r="G366" s="3"/>
      <c r="H366" s="4"/>
      <c r="I366" s="5"/>
      <c r="J366" s="6"/>
      <c r="K366" s="7"/>
      <c r="L366" s="8"/>
      <c r="M366" s="9"/>
      <c r="N366" s="9"/>
      <c r="O366" s="9"/>
      <c r="P366" s="10"/>
      <c r="Q366" s="11"/>
      <c r="R366" s="11"/>
      <c r="S366" s="11"/>
      <c r="T366" s="11"/>
      <c r="U366" s="11"/>
      <c r="V366" s="11"/>
      <c r="W366" s="11"/>
      <c r="X366" s="11"/>
      <c r="Y366" s="11"/>
      <c r="Z366" s="12"/>
      <c r="AA366" s="12"/>
      <c r="AB366" s="12"/>
      <c r="AC366" s="12"/>
      <c r="AD366" s="12"/>
      <c r="AE366" s="12"/>
      <c r="AF366" s="12"/>
    </row>
    <row r="367" ht="46.5" customHeight="1">
      <c r="A367" s="1"/>
      <c r="B367" s="2"/>
      <c r="C367" s="2"/>
      <c r="D367" s="3"/>
      <c r="E367" s="3"/>
      <c r="F367" s="3"/>
      <c r="G367" s="3"/>
      <c r="H367" s="4"/>
      <c r="I367" s="5"/>
      <c r="J367" s="6"/>
      <c r="K367" s="7"/>
      <c r="L367" s="8"/>
      <c r="M367" s="9"/>
      <c r="N367" s="9"/>
      <c r="O367" s="9"/>
      <c r="P367" s="10"/>
      <c r="Q367" s="11"/>
      <c r="R367" s="11"/>
      <c r="S367" s="11"/>
      <c r="T367" s="11"/>
      <c r="U367" s="11"/>
      <c r="V367" s="11"/>
      <c r="W367" s="11"/>
      <c r="X367" s="11"/>
      <c r="Y367" s="11"/>
      <c r="Z367" s="12"/>
      <c r="AA367" s="12"/>
      <c r="AB367" s="12"/>
      <c r="AC367" s="12"/>
      <c r="AD367" s="12"/>
      <c r="AE367" s="12"/>
      <c r="AF367" s="12"/>
    </row>
    <row r="368" ht="46.5" customHeight="1">
      <c r="A368" s="1"/>
      <c r="B368" s="2"/>
      <c r="C368" s="2"/>
      <c r="D368" s="3"/>
      <c r="E368" s="3"/>
      <c r="F368" s="3"/>
      <c r="G368" s="3"/>
      <c r="H368" s="4"/>
      <c r="I368" s="5"/>
      <c r="J368" s="6"/>
      <c r="K368" s="7"/>
      <c r="L368" s="8"/>
      <c r="M368" s="9"/>
      <c r="N368" s="9"/>
      <c r="O368" s="9"/>
      <c r="P368" s="10"/>
      <c r="Q368" s="11"/>
      <c r="R368" s="11"/>
      <c r="S368" s="11"/>
      <c r="T368" s="11"/>
      <c r="U368" s="11"/>
      <c r="V368" s="11"/>
      <c r="W368" s="11"/>
      <c r="X368" s="11"/>
      <c r="Y368" s="11"/>
      <c r="Z368" s="12"/>
      <c r="AA368" s="12"/>
      <c r="AB368" s="12"/>
      <c r="AC368" s="12"/>
      <c r="AD368" s="12"/>
      <c r="AE368" s="12"/>
      <c r="AF368" s="12"/>
    </row>
    <row r="369" ht="46.5" customHeight="1">
      <c r="A369" s="1"/>
      <c r="B369" s="2"/>
      <c r="C369" s="2"/>
      <c r="D369" s="3"/>
      <c r="E369" s="3"/>
      <c r="F369" s="3"/>
      <c r="G369" s="3"/>
      <c r="H369" s="4"/>
      <c r="I369" s="5"/>
      <c r="J369" s="6"/>
      <c r="K369" s="7"/>
      <c r="L369" s="8"/>
      <c r="M369" s="9"/>
      <c r="N369" s="9"/>
      <c r="O369" s="9"/>
      <c r="P369" s="10"/>
      <c r="Q369" s="11"/>
      <c r="R369" s="11"/>
      <c r="S369" s="11"/>
      <c r="T369" s="11"/>
      <c r="U369" s="11"/>
      <c r="V369" s="11"/>
      <c r="W369" s="11"/>
      <c r="X369" s="11"/>
      <c r="Y369" s="11"/>
      <c r="Z369" s="12"/>
      <c r="AA369" s="12"/>
      <c r="AB369" s="12"/>
      <c r="AC369" s="12"/>
      <c r="AD369" s="12"/>
      <c r="AE369" s="12"/>
      <c r="AF369" s="12"/>
    </row>
    <row r="370" ht="46.5" customHeight="1">
      <c r="A370" s="1"/>
      <c r="B370" s="2"/>
      <c r="C370" s="2"/>
      <c r="D370" s="3"/>
      <c r="E370" s="3"/>
      <c r="F370" s="3"/>
      <c r="G370" s="3"/>
      <c r="H370" s="4"/>
      <c r="I370" s="5"/>
      <c r="J370" s="6"/>
      <c r="K370" s="7"/>
      <c r="L370" s="8"/>
      <c r="M370" s="9"/>
      <c r="N370" s="9"/>
      <c r="O370" s="9"/>
      <c r="P370" s="10"/>
      <c r="Q370" s="11"/>
      <c r="R370" s="11"/>
      <c r="S370" s="11"/>
      <c r="T370" s="11"/>
      <c r="U370" s="11"/>
      <c r="V370" s="11"/>
      <c r="W370" s="11"/>
      <c r="X370" s="11"/>
      <c r="Y370" s="11"/>
      <c r="Z370" s="12"/>
      <c r="AA370" s="12"/>
      <c r="AB370" s="12"/>
      <c r="AC370" s="12"/>
      <c r="AD370" s="12"/>
      <c r="AE370" s="12"/>
      <c r="AF370" s="12"/>
    </row>
    <row r="371" ht="46.5" customHeight="1">
      <c r="A371" s="1"/>
      <c r="B371" s="2"/>
      <c r="C371" s="2"/>
      <c r="D371" s="3"/>
      <c r="E371" s="3"/>
      <c r="F371" s="3"/>
      <c r="G371" s="3"/>
      <c r="H371" s="4"/>
      <c r="I371" s="5"/>
      <c r="J371" s="6"/>
      <c r="K371" s="7"/>
      <c r="L371" s="8"/>
      <c r="M371" s="9"/>
      <c r="N371" s="9"/>
      <c r="O371" s="9"/>
      <c r="P371" s="10"/>
      <c r="Q371" s="11"/>
      <c r="R371" s="11"/>
      <c r="S371" s="11"/>
      <c r="T371" s="11"/>
      <c r="U371" s="11"/>
      <c r="V371" s="11"/>
      <c r="W371" s="11"/>
      <c r="X371" s="11"/>
      <c r="Y371" s="11"/>
      <c r="Z371" s="12"/>
      <c r="AA371" s="12"/>
      <c r="AB371" s="12"/>
      <c r="AC371" s="12"/>
      <c r="AD371" s="12"/>
      <c r="AE371" s="12"/>
      <c r="AF371" s="12"/>
    </row>
    <row r="372" ht="46.5" customHeight="1">
      <c r="A372" s="1"/>
      <c r="B372" s="2"/>
      <c r="C372" s="2"/>
      <c r="D372" s="3"/>
      <c r="E372" s="3"/>
      <c r="F372" s="3"/>
      <c r="G372" s="3"/>
      <c r="H372" s="4"/>
      <c r="I372" s="5"/>
      <c r="J372" s="6"/>
      <c r="K372" s="7"/>
      <c r="L372" s="8"/>
      <c r="M372" s="9"/>
      <c r="N372" s="9"/>
      <c r="O372" s="9"/>
      <c r="P372" s="10"/>
      <c r="Q372" s="11"/>
      <c r="R372" s="11"/>
      <c r="S372" s="11"/>
      <c r="T372" s="11"/>
      <c r="U372" s="11"/>
      <c r="V372" s="11"/>
      <c r="W372" s="11"/>
      <c r="X372" s="11"/>
      <c r="Y372" s="11"/>
      <c r="Z372" s="12"/>
      <c r="AA372" s="12"/>
      <c r="AB372" s="12"/>
      <c r="AC372" s="12"/>
      <c r="AD372" s="12"/>
      <c r="AE372" s="12"/>
      <c r="AF372" s="12"/>
    </row>
    <row r="373" ht="46.5" customHeight="1">
      <c r="A373" s="1"/>
      <c r="B373" s="2"/>
      <c r="C373" s="2"/>
      <c r="D373" s="3"/>
      <c r="E373" s="3"/>
      <c r="F373" s="3"/>
      <c r="G373" s="3"/>
      <c r="H373" s="4"/>
      <c r="I373" s="5"/>
      <c r="J373" s="6"/>
      <c r="K373" s="7"/>
      <c r="L373" s="8"/>
      <c r="M373" s="9"/>
      <c r="N373" s="9"/>
      <c r="O373" s="9"/>
      <c r="P373" s="10"/>
      <c r="Q373" s="11"/>
      <c r="R373" s="11"/>
      <c r="S373" s="11"/>
      <c r="T373" s="11"/>
      <c r="U373" s="11"/>
      <c r="V373" s="11"/>
      <c r="W373" s="11"/>
      <c r="X373" s="11"/>
      <c r="Y373" s="11"/>
      <c r="Z373" s="12"/>
      <c r="AA373" s="12"/>
      <c r="AB373" s="12"/>
      <c r="AC373" s="12"/>
      <c r="AD373" s="12"/>
      <c r="AE373" s="12"/>
      <c r="AF373" s="12"/>
    </row>
    <row r="374" ht="46.5" customHeight="1">
      <c r="A374" s="1"/>
      <c r="B374" s="2"/>
      <c r="C374" s="2"/>
      <c r="D374" s="3"/>
      <c r="E374" s="3"/>
      <c r="F374" s="3"/>
      <c r="G374" s="3"/>
      <c r="H374" s="4"/>
      <c r="I374" s="5"/>
      <c r="J374" s="6"/>
      <c r="K374" s="7"/>
      <c r="L374" s="8"/>
      <c r="M374" s="9"/>
      <c r="N374" s="9"/>
      <c r="O374" s="9"/>
      <c r="P374" s="10"/>
      <c r="Q374" s="11"/>
      <c r="R374" s="11"/>
      <c r="S374" s="11"/>
      <c r="T374" s="11"/>
      <c r="U374" s="11"/>
      <c r="V374" s="11"/>
      <c r="W374" s="11"/>
      <c r="X374" s="11"/>
      <c r="Y374" s="11"/>
      <c r="Z374" s="12"/>
      <c r="AA374" s="12"/>
      <c r="AB374" s="12"/>
      <c r="AC374" s="12"/>
      <c r="AD374" s="12"/>
      <c r="AE374" s="12"/>
      <c r="AF374" s="12"/>
    </row>
    <row r="375" ht="46.5" customHeight="1">
      <c r="A375" s="1"/>
      <c r="B375" s="2"/>
      <c r="C375" s="2"/>
      <c r="D375" s="3"/>
      <c r="E375" s="3"/>
      <c r="F375" s="3"/>
      <c r="G375" s="3"/>
      <c r="H375" s="4"/>
      <c r="I375" s="5"/>
      <c r="J375" s="6"/>
      <c r="K375" s="7"/>
      <c r="L375" s="8"/>
      <c r="M375" s="9"/>
      <c r="N375" s="9"/>
      <c r="O375" s="9"/>
      <c r="P375" s="10"/>
      <c r="Q375" s="11"/>
      <c r="R375" s="11"/>
      <c r="S375" s="11"/>
      <c r="T375" s="11"/>
      <c r="U375" s="11"/>
      <c r="V375" s="11"/>
      <c r="W375" s="11"/>
      <c r="X375" s="11"/>
      <c r="Y375" s="11"/>
      <c r="Z375" s="12"/>
      <c r="AA375" s="12"/>
      <c r="AB375" s="12"/>
      <c r="AC375" s="12"/>
      <c r="AD375" s="12"/>
      <c r="AE375" s="12"/>
      <c r="AF375" s="12"/>
    </row>
    <row r="376" ht="46.5" customHeight="1">
      <c r="A376" s="1"/>
      <c r="B376" s="2"/>
      <c r="C376" s="2"/>
      <c r="D376" s="3"/>
      <c r="E376" s="3"/>
      <c r="F376" s="3"/>
      <c r="G376" s="3"/>
      <c r="H376" s="4"/>
      <c r="I376" s="5"/>
      <c r="J376" s="6"/>
      <c r="K376" s="7"/>
      <c r="L376" s="8"/>
      <c r="M376" s="9"/>
      <c r="N376" s="9"/>
      <c r="O376" s="9"/>
      <c r="P376" s="10"/>
      <c r="Q376" s="11"/>
      <c r="R376" s="11"/>
      <c r="S376" s="11"/>
      <c r="T376" s="11"/>
      <c r="U376" s="11"/>
      <c r="V376" s="11"/>
      <c r="W376" s="11"/>
      <c r="X376" s="11"/>
      <c r="Y376" s="11"/>
      <c r="Z376" s="12"/>
      <c r="AA376" s="12"/>
      <c r="AB376" s="12"/>
      <c r="AC376" s="12"/>
      <c r="AD376" s="12"/>
      <c r="AE376" s="12"/>
      <c r="AF376" s="12"/>
    </row>
    <row r="377" ht="46.5" customHeight="1">
      <c r="A377" s="1"/>
      <c r="B377" s="2"/>
      <c r="C377" s="2"/>
      <c r="D377" s="3"/>
      <c r="E377" s="3"/>
      <c r="F377" s="3"/>
      <c r="G377" s="3"/>
      <c r="H377" s="4"/>
      <c r="I377" s="5"/>
      <c r="J377" s="6"/>
      <c r="K377" s="7"/>
      <c r="L377" s="8"/>
      <c r="M377" s="9"/>
      <c r="N377" s="9"/>
      <c r="O377" s="9"/>
      <c r="P377" s="10"/>
      <c r="Q377" s="11"/>
      <c r="R377" s="11"/>
      <c r="S377" s="11"/>
      <c r="T377" s="11"/>
      <c r="U377" s="11"/>
      <c r="V377" s="11"/>
      <c r="W377" s="11"/>
      <c r="X377" s="11"/>
      <c r="Y377" s="11"/>
      <c r="Z377" s="12"/>
      <c r="AA377" s="12"/>
      <c r="AB377" s="12"/>
      <c r="AC377" s="12"/>
      <c r="AD377" s="12"/>
      <c r="AE377" s="12"/>
      <c r="AF377" s="12"/>
    </row>
    <row r="378" ht="46.5" customHeight="1">
      <c r="A378" s="1"/>
      <c r="B378" s="2"/>
      <c r="C378" s="2"/>
      <c r="D378" s="3"/>
      <c r="E378" s="3"/>
      <c r="F378" s="3"/>
      <c r="G378" s="3"/>
      <c r="H378" s="4"/>
      <c r="I378" s="5"/>
      <c r="J378" s="6"/>
      <c r="K378" s="7"/>
      <c r="L378" s="8"/>
      <c r="M378" s="9"/>
      <c r="N378" s="9"/>
      <c r="O378" s="9"/>
      <c r="P378" s="10"/>
      <c r="Q378" s="11"/>
      <c r="R378" s="11"/>
      <c r="S378" s="11"/>
      <c r="T378" s="11"/>
      <c r="U378" s="11"/>
      <c r="V378" s="11"/>
      <c r="W378" s="11"/>
      <c r="X378" s="11"/>
      <c r="Y378" s="11"/>
      <c r="Z378" s="12"/>
      <c r="AA378" s="12"/>
      <c r="AB378" s="12"/>
      <c r="AC378" s="12"/>
      <c r="AD378" s="12"/>
      <c r="AE378" s="12"/>
      <c r="AF378" s="12"/>
    </row>
    <row r="379" ht="46.5" customHeight="1">
      <c r="A379" s="1"/>
      <c r="B379" s="2"/>
      <c r="C379" s="2"/>
      <c r="D379" s="3"/>
      <c r="E379" s="3"/>
      <c r="F379" s="3"/>
      <c r="G379" s="3"/>
      <c r="H379" s="4"/>
      <c r="I379" s="5"/>
      <c r="J379" s="6"/>
      <c r="K379" s="7"/>
      <c r="L379" s="8"/>
      <c r="M379" s="9"/>
      <c r="N379" s="9"/>
      <c r="O379" s="9"/>
      <c r="P379" s="10"/>
      <c r="Q379" s="11"/>
      <c r="R379" s="11"/>
      <c r="S379" s="11"/>
      <c r="T379" s="11"/>
      <c r="U379" s="11"/>
      <c r="V379" s="11"/>
      <c r="W379" s="11"/>
      <c r="X379" s="11"/>
      <c r="Y379" s="11"/>
      <c r="Z379" s="12"/>
      <c r="AA379" s="12"/>
      <c r="AB379" s="12"/>
      <c r="AC379" s="12"/>
      <c r="AD379" s="12"/>
      <c r="AE379" s="12"/>
      <c r="AF379" s="12"/>
    </row>
    <row r="380" ht="46.5" customHeight="1">
      <c r="A380" s="1"/>
      <c r="B380" s="2"/>
      <c r="C380" s="2"/>
      <c r="D380" s="3"/>
      <c r="E380" s="3"/>
      <c r="F380" s="3"/>
      <c r="G380" s="3"/>
      <c r="H380" s="4"/>
      <c r="I380" s="5"/>
      <c r="J380" s="6"/>
      <c r="K380" s="7"/>
      <c r="L380" s="8"/>
      <c r="M380" s="9"/>
      <c r="N380" s="9"/>
      <c r="O380" s="9"/>
      <c r="P380" s="10"/>
      <c r="Q380" s="11"/>
      <c r="R380" s="11"/>
      <c r="S380" s="11"/>
      <c r="T380" s="11"/>
      <c r="U380" s="11"/>
      <c r="V380" s="11"/>
      <c r="W380" s="11"/>
      <c r="X380" s="11"/>
      <c r="Y380" s="11"/>
      <c r="Z380" s="12"/>
      <c r="AA380" s="12"/>
      <c r="AB380" s="12"/>
      <c r="AC380" s="12"/>
      <c r="AD380" s="12"/>
      <c r="AE380" s="12"/>
      <c r="AF380" s="12"/>
    </row>
    <row r="381" ht="46.5" customHeight="1">
      <c r="A381" s="1"/>
      <c r="B381" s="2"/>
      <c r="C381" s="2"/>
      <c r="D381" s="3"/>
      <c r="E381" s="3"/>
      <c r="F381" s="3"/>
      <c r="G381" s="3"/>
      <c r="H381" s="4"/>
      <c r="I381" s="5"/>
      <c r="J381" s="6"/>
      <c r="K381" s="7"/>
      <c r="L381" s="8"/>
      <c r="M381" s="9"/>
      <c r="N381" s="9"/>
      <c r="O381" s="9"/>
      <c r="P381" s="10"/>
      <c r="Q381" s="11"/>
      <c r="R381" s="11"/>
      <c r="S381" s="11"/>
      <c r="T381" s="11"/>
      <c r="U381" s="11"/>
      <c r="V381" s="11"/>
      <c r="W381" s="11"/>
      <c r="X381" s="11"/>
      <c r="Y381" s="11"/>
      <c r="Z381" s="12"/>
      <c r="AA381" s="12"/>
      <c r="AB381" s="12"/>
      <c r="AC381" s="12"/>
      <c r="AD381" s="12"/>
      <c r="AE381" s="12"/>
      <c r="AF381" s="12"/>
    </row>
    <row r="382" ht="46.5" customHeight="1">
      <c r="A382" s="1"/>
      <c r="B382" s="2"/>
      <c r="C382" s="2"/>
      <c r="D382" s="3"/>
      <c r="E382" s="3"/>
      <c r="F382" s="3"/>
      <c r="G382" s="3"/>
      <c r="H382" s="4"/>
      <c r="I382" s="5"/>
      <c r="J382" s="6"/>
      <c r="K382" s="7"/>
      <c r="L382" s="8"/>
      <c r="M382" s="9"/>
      <c r="N382" s="9"/>
      <c r="O382" s="9"/>
      <c r="P382" s="10"/>
      <c r="Q382" s="11"/>
      <c r="R382" s="11"/>
      <c r="S382" s="11"/>
      <c r="T382" s="11"/>
      <c r="U382" s="11"/>
      <c r="V382" s="11"/>
      <c r="W382" s="11"/>
      <c r="X382" s="11"/>
      <c r="Y382" s="11"/>
      <c r="Z382" s="12"/>
      <c r="AA382" s="12"/>
      <c r="AB382" s="12"/>
      <c r="AC382" s="12"/>
      <c r="AD382" s="12"/>
      <c r="AE382" s="12"/>
      <c r="AF382" s="12"/>
    </row>
    <row r="383" ht="46.5" customHeight="1">
      <c r="A383" s="1"/>
      <c r="B383" s="2"/>
      <c r="C383" s="2"/>
      <c r="D383" s="3"/>
      <c r="E383" s="3"/>
      <c r="F383" s="3"/>
      <c r="G383" s="3"/>
      <c r="H383" s="4"/>
      <c r="I383" s="5"/>
      <c r="J383" s="6"/>
      <c r="K383" s="7"/>
      <c r="L383" s="8"/>
      <c r="M383" s="9"/>
      <c r="N383" s="9"/>
      <c r="O383" s="9"/>
      <c r="P383" s="10"/>
      <c r="Q383" s="11"/>
      <c r="R383" s="11"/>
      <c r="S383" s="11"/>
      <c r="T383" s="11"/>
      <c r="U383" s="11"/>
      <c r="V383" s="11"/>
      <c r="W383" s="11"/>
      <c r="X383" s="11"/>
      <c r="Y383" s="11"/>
      <c r="Z383" s="12"/>
      <c r="AA383" s="12"/>
      <c r="AB383" s="12"/>
      <c r="AC383" s="12"/>
      <c r="AD383" s="12"/>
      <c r="AE383" s="12"/>
      <c r="AF383" s="12"/>
    </row>
    <row r="384" ht="46.5" customHeight="1">
      <c r="A384" s="1"/>
      <c r="B384" s="2"/>
      <c r="C384" s="2"/>
      <c r="D384" s="3"/>
      <c r="E384" s="3"/>
      <c r="F384" s="3"/>
      <c r="G384" s="3"/>
      <c r="H384" s="4"/>
      <c r="I384" s="5"/>
      <c r="J384" s="6"/>
      <c r="K384" s="7"/>
      <c r="L384" s="8"/>
      <c r="M384" s="9"/>
      <c r="N384" s="9"/>
      <c r="O384" s="9"/>
      <c r="P384" s="10"/>
      <c r="Q384" s="11"/>
      <c r="R384" s="11"/>
      <c r="S384" s="11"/>
      <c r="T384" s="11"/>
      <c r="U384" s="11"/>
      <c r="V384" s="11"/>
      <c r="W384" s="11"/>
      <c r="X384" s="11"/>
      <c r="Y384" s="11"/>
      <c r="Z384" s="12"/>
      <c r="AA384" s="12"/>
      <c r="AB384" s="12"/>
      <c r="AC384" s="12"/>
      <c r="AD384" s="12"/>
      <c r="AE384" s="12"/>
      <c r="AF384" s="12"/>
    </row>
    <row r="385" ht="46.5" customHeight="1">
      <c r="A385" s="1"/>
      <c r="B385" s="2"/>
      <c r="C385" s="2"/>
      <c r="D385" s="3"/>
      <c r="E385" s="3"/>
      <c r="F385" s="3"/>
      <c r="G385" s="3"/>
      <c r="H385" s="4"/>
      <c r="I385" s="5"/>
      <c r="J385" s="6"/>
      <c r="K385" s="7"/>
      <c r="L385" s="8"/>
      <c r="M385" s="9"/>
      <c r="N385" s="9"/>
      <c r="O385" s="9"/>
      <c r="P385" s="10"/>
      <c r="Q385" s="11"/>
      <c r="R385" s="11"/>
      <c r="S385" s="11"/>
      <c r="T385" s="11"/>
      <c r="U385" s="11"/>
      <c r="V385" s="11"/>
      <c r="W385" s="11"/>
      <c r="X385" s="11"/>
      <c r="Y385" s="11"/>
      <c r="Z385" s="12"/>
      <c r="AA385" s="12"/>
      <c r="AB385" s="12"/>
      <c r="AC385" s="12"/>
      <c r="AD385" s="12"/>
      <c r="AE385" s="12"/>
      <c r="AF385" s="12"/>
    </row>
    <row r="386" ht="46.5" customHeight="1">
      <c r="A386" s="1"/>
      <c r="B386" s="2"/>
      <c r="C386" s="2"/>
      <c r="D386" s="3"/>
      <c r="E386" s="3"/>
      <c r="F386" s="3"/>
      <c r="G386" s="3"/>
      <c r="H386" s="4"/>
      <c r="I386" s="5"/>
      <c r="J386" s="6"/>
      <c r="K386" s="7"/>
      <c r="L386" s="8"/>
      <c r="M386" s="9"/>
      <c r="N386" s="9"/>
      <c r="O386" s="9"/>
      <c r="P386" s="10"/>
      <c r="Q386" s="11"/>
      <c r="R386" s="11"/>
      <c r="S386" s="11"/>
      <c r="T386" s="11"/>
      <c r="U386" s="11"/>
      <c r="V386" s="11"/>
      <c r="W386" s="11"/>
      <c r="X386" s="11"/>
      <c r="Y386" s="11"/>
      <c r="Z386" s="12"/>
      <c r="AA386" s="12"/>
      <c r="AB386" s="12"/>
      <c r="AC386" s="12"/>
      <c r="AD386" s="12"/>
      <c r="AE386" s="12"/>
      <c r="AF386" s="12"/>
    </row>
    <row r="387" ht="46.5" customHeight="1">
      <c r="A387" s="1"/>
      <c r="B387" s="2"/>
      <c r="C387" s="2"/>
      <c r="D387" s="3"/>
      <c r="E387" s="3"/>
      <c r="F387" s="3"/>
      <c r="G387" s="3"/>
      <c r="H387" s="4"/>
      <c r="I387" s="5"/>
      <c r="J387" s="6"/>
      <c r="K387" s="7"/>
      <c r="L387" s="8"/>
      <c r="M387" s="9"/>
      <c r="N387" s="9"/>
      <c r="O387" s="9"/>
      <c r="P387" s="10"/>
      <c r="Q387" s="11"/>
      <c r="R387" s="11"/>
      <c r="S387" s="11"/>
      <c r="T387" s="11"/>
      <c r="U387" s="11"/>
      <c r="V387" s="11"/>
      <c r="W387" s="11"/>
      <c r="X387" s="11"/>
      <c r="Y387" s="11"/>
      <c r="Z387" s="12"/>
      <c r="AA387" s="12"/>
      <c r="AB387" s="12"/>
      <c r="AC387" s="12"/>
      <c r="AD387" s="12"/>
      <c r="AE387" s="12"/>
      <c r="AF387" s="12"/>
    </row>
    <row r="388" ht="46.5" customHeight="1">
      <c r="A388" s="1"/>
      <c r="B388" s="2"/>
      <c r="C388" s="2"/>
      <c r="D388" s="3"/>
      <c r="E388" s="3"/>
      <c r="F388" s="3"/>
      <c r="G388" s="3"/>
      <c r="H388" s="4"/>
      <c r="I388" s="5"/>
      <c r="J388" s="6"/>
      <c r="K388" s="7"/>
      <c r="L388" s="8"/>
      <c r="M388" s="9"/>
      <c r="N388" s="9"/>
      <c r="O388" s="9"/>
      <c r="P388" s="10"/>
      <c r="Q388" s="11"/>
      <c r="R388" s="11"/>
      <c r="S388" s="11"/>
      <c r="T388" s="11"/>
      <c r="U388" s="11"/>
      <c r="V388" s="11"/>
      <c r="W388" s="11"/>
      <c r="X388" s="11"/>
      <c r="Y388" s="11"/>
      <c r="Z388" s="12"/>
      <c r="AA388" s="12"/>
      <c r="AB388" s="12"/>
      <c r="AC388" s="12"/>
      <c r="AD388" s="12"/>
      <c r="AE388" s="12"/>
      <c r="AF388" s="12"/>
    </row>
    <row r="389" ht="46.5" customHeight="1">
      <c r="A389" s="1"/>
      <c r="B389" s="2"/>
      <c r="C389" s="2"/>
      <c r="D389" s="3"/>
      <c r="E389" s="3"/>
      <c r="F389" s="3"/>
      <c r="G389" s="3"/>
      <c r="H389" s="4"/>
      <c r="I389" s="5"/>
      <c r="J389" s="6"/>
      <c r="K389" s="7"/>
      <c r="L389" s="8"/>
      <c r="M389" s="9"/>
      <c r="N389" s="9"/>
      <c r="O389" s="9"/>
      <c r="P389" s="10"/>
      <c r="Q389" s="11"/>
      <c r="R389" s="11"/>
      <c r="S389" s="11"/>
      <c r="T389" s="11"/>
      <c r="U389" s="11"/>
      <c r="V389" s="11"/>
      <c r="W389" s="11"/>
      <c r="X389" s="11"/>
      <c r="Y389" s="11"/>
      <c r="Z389" s="12"/>
      <c r="AA389" s="12"/>
      <c r="AB389" s="12"/>
      <c r="AC389" s="12"/>
      <c r="AD389" s="12"/>
      <c r="AE389" s="12"/>
      <c r="AF389" s="12"/>
    </row>
    <row r="390" ht="46.5" customHeight="1">
      <c r="A390" s="1"/>
      <c r="B390" s="2"/>
      <c r="C390" s="2"/>
      <c r="D390" s="3"/>
      <c r="E390" s="3"/>
      <c r="F390" s="3"/>
      <c r="G390" s="3"/>
      <c r="H390" s="4"/>
      <c r="I390" s="5"/>
      <c r="J390" s="6"/>
      <c r="K390" s="7"/>
      <c r="L390" s="8"/>
      <c r="M390" s="9"/>
      <c r="N390" s="9"/>
      <c r="O390" s="9"/>
      <c r="P390" s="10"/>
      <c r="Q390" s="11"/>
      <c r="R390" s="11"/>
      <c r="S390" s="11"/>
      <c r="T390" s="11"/>
      <c r="U390" s="11"/>
      <c r="V390" s="11"/>
      <c r="W390" s="11"/>
      <c r="X390" s="11"/>
      <c r="Y390" s="11"/>
      <c r="Z390" s="12"/>
      <c r="AA390" s="12"/>
      <c r="AB390" s="12"/>
      <c r="AC390" s="12"/>
      <c r="AD390" s="12"/>
      <c r="AE390" s="12"/>
      <c r="AF390" s="12"/>
    </row>
    <row r="391" ht="46.5" customHeight="1">
      <c r="A391" s="1"/>
      <c r="B391" s="2"/>
      <c r="C391" s="2"/>
      <c r="D391" s="3"/>
      <c r="E391" s="3"/>
      <c r="F391" s="3"/>
      <c r="G391" s="3"/>
      <c r="H391" s="4"/>
      <c r="I391" s="5"/>
      <c r="J391" s="6"/>
      <c r="K391" s="7"/>
      <c r="L391" s="8"/>
      <c r="M391" s="9"/>
      <c r="N391" s="9"/>
      <c r="O391" s="9"/>
      <c r="P391" s="10"/>
      <c r="Q391" s="11"/>
      <c r="R391" s="11"/>
      <c r="S391" s="11"/>
      <c r="T391" s="11"/>
      <c r="U391" s="11"/>
      <c r="V391" s="11"/>
      <c r="W391" s="11"/>
      <c r="X391" s="11"/>
      <c r="Y391" s="11"/>
      <c r="Z391" s="12"/>
      <c r="AA391" s="12"/>
      <c r="AB391" s="12"/>
      <c r="AC391" s="12"/>
      <c r="AD391" s="12"/>
      <c r="AE391" s="12"/>
      <c r="AF391" s="12"/>
    </row>
    <row r="392" ht="46.5" customHeight="1">
      <c r="A392" s="1"/>
      <c r="B392" s="2"/>
      <c r="C392" s="2"/>
      <c r="D392" s="3"/>
      <c r="E392" s="3"/>
      <c r="F392" s="3"/>
      <c r="G392" s="3"/>
      <c r="H392" s="4"/>
      <c r="I392" s="5"/>
      <c r="J392" s="6"/>
      <c r="K392" s="7"/>
      <c r="L392" s="8"/>
      <c r="M392" s="9"/>
      <c r="N392" s="9"/>
      <c r="O392" s="9"/>
      <c r="P392" s="10"/>
      <c r="Q392" s="11"/>
      <c r="R392" s="11"/>
      <c r="S392" s="11"/>
      <c r="T392" s="11"/>
      <c r="U392" s="11"/>
      <c r="V392" s="11"/>
      <c r="W392" s="11"/>
      <c r="X392" s="11"/>
      <c r="Y392" s="11"/>
      <c r="Z392" s="12"/>
      <c r="AA392" s="12"/>
      <c r="AB392" s="12"/>
      <c r="AC392" s="12"/>
      <c r="AD392" s="12"/>
      <c r="AE392" s="12"/>
      <c r="AF392" s="12"/>
    </row>
    <row r="393" ht="46.5" customHeight="1">
      <c r="A393" s="1"/>
      <c r="B393" s="2"/>
      <c r="C393" s="2"/>
      <c r="D393" s="3"/>
      <c r="E393" s="3"/>
      <c r="F393" s="3"/>
      <c r="G393" s="3"/>
      <c r="H393" s="4"/>
      <c r="I393" s="5"/>
      <c r="J393" s="6"/>
      <c r="K393" s="7"/>
      <c r="L393" s="8"/>
      <c r="M393" s="9"/>
      <c r="N393" s="9"/>
      <c r="O393" s="9"/>
      <c r="P393" s="10"/>
      <c r="Q393" s="11"/>
      <c r="R393" s="11"/>
      <c r="S393" s="11"/>
      <c r="T393" s="11"/>
      <c r="U393" s="11"/>
      <c r="V393" s="11"/>
      <c r="W393" s="11"/>
      <c r="X393" s="11"/>
      <c r="Y393" s="11"/>
      <c r="Z393" s="12"/>
      <c r="AA393" s="12"/>
      <c r="AB393" s="12"/>
      <c r="AC393" s="12"/>
      <c r="AD393" s="12"/>
      <c r="AE393" s="12"/>
      <c r="AF393" s="12"/>
    </row>
    <row r="394" ht="46.5" customHeight="1">
      <c r="A394" s="1"/>
      <c r="B394" s="2"/>
      <c r="C394" s="2"/>
      <c r="D394" s="3"/>
      <c r="E394" s="3"/>
      <c r="F394" s="3"/>
      <c r="G394" s="3"/>
      <c r="H394" s="4"/>
      <c r="I394" s="5"/>
      <c r="J394" s="6"/>
      <c r="K394" s="7"/>
      <c r="L394" s="8"/>
      <c r="M394" s="9"/>
      <c r="N394" s="9"/>
      <c r="O394" s="9"/>
      <c r="P394" s="10"/>
      <c r="Q394" s="11"/>
      <c r="R394" s="11"/>
      <c r="S394" s="11"/>
      <c r="T394" s="11"/>
      <c r="U394" s="11"/>
      <c r="V394" s="11"/>
      <c r="W394" s="11"/>
      <c r="X394" s="11"/>
      <c r="Y394" s="11"/>
      <c r="Z394" s="12"/>
      <c r="AA394" s="12"/>
      <c r="AB394" s="12"/>
      <c r="AC394" s="12"/>
      <c r="AD394" s="12"/>
      <c r="AE394" s="12"/>
      <c r="AF394" s="12"/>
    </row>
    <row r="395" ht="46.5" customHeight="1">
      <c r="A395" s="1"/>
      <c r="B395" s="2"/>
      <c r="C395" s="2"/>
      <c r="D395" s="3"/>
      <c r="E395" s="3"/>
      <c r="F395" s="3"/>
      <c r="G395" s="3"/>
      <c r="H395" s="4"/>
      <c r="I395" s="5"/>
      <c r="J395" s="6"/>
      <c r="K395" s="7"/>
      <c r="L395" s="8"/>
      <c r="M395" s="9"/>
      <c r="N395" s="9"/>
      <c r="O395" s="9"/>
      <c r="P395" s="10"/>
      <c r="Q395" s="11"/>
      <c r="R395" s="11"/>
      <c r="S395" s="11"/>
      <c r="T395" s="11"/>
      <c r="U395" s="11"/>
      <c r="V395" s="11"/>
      <c r="W395" s="11"/>
      <c r="X395" s="11"/>
      <c r="Y395" s="11"/>
      <c r="Z395" s="12"/>
      <c r="AA395" s="12"/>
      <c r="AB395" s="12"/>
      <c r="AC395" s="12"/>
      <c r="AD395" s="12"/>
      <c r="AE395" s="12"/>
      <c r="AF395" s="12"/>
    </row>
    <row r="396" ht="46.5" customHeight="1">
      <c r="A396" s="1"/>
      <c r="B396" s="2"/>
      <c r="C396" s="2"/>
      <c r="D396" s="3"/>
      <c r="E396" s="3"/>
      <c r="F396" s="3"/>
      <c r="G396" s="3"/>
      <c r="H396" s="4"/>
      <c r="I396" s="5"/>
      <c r="J396" s="6"/>
      <c r="K396" s="7"/>
      <c r="L396" s="8"/>
      <c r="M396" s="9"/>
      <c r="N396" s="9"/>
      <c r="O396" s="9"/>
      <c r="P396" s="10"/>
      <c r="Q396" s="11"/>
      <c r="R396" s="11"/>
      <c r="S396" s="11"/>
      <c r="T396" s="11"/>
      <c r="U396" s="11"/>
      <c r="V396" s="11"/>
      <c r="W396" s="11"/>
      <c r="X396" s="11"/>
      <c r="Y396" s="11"/>
      <c r="Z396" s="12"/>
      <c r="AA396" s="12"/>
      <c r="AB396" s="12"/>
      <c r="AC396" s="12"/>
      <c r="AD396" s="12"/>
      <c r="AE396" s="12"/>
      <c r="AF396" s="12"/>
    </row>
    <row r="397" ht="46.5" customHeight="1">
      <c r="A397" s="1"/>
      <c r="B397" s="2"/>
      <c r="C397" s="2"/>
      <c r="D397" s="3"/>
      <c r="E397" s="3"/>
      <c r="F397" s="3"/>
      <c r="G397" s="3"/>
      <c r="H397" s="4"/>
      <c r="I397" s="5"/>
      <c r="J397" s="6"/>
      <c r="K397" s="7"/>
      <c r="L397" s="8"/>
      <c r="M397" s="9"/>
      <c r="N397" s="9"/>
      <c r="O397" s="9"/>
      <c r="P397" s="10"/>
      <c r="Q397" s="11"/>
      <c r="R397" s="11"/>
      <c r="S397" s="11"/>
      <c r="T397" s="11"/>
      <c r="U397" s="11"/>
      <c r="V397" s="11"/>
      <c r="W397" s="11"/>
      <c r="X397" s="11"/>
      <c r="Y397" s="11"/>
      <c r="Z397" s="12"/>
      <c r="AA397" s="12"/>
      <c r="AB397" s="12"/>
      <c r="AC397" s="12"/>
      <c r="AD397" s="12"/>
      <c r="AE397" s="12"/>
      <c r="AF397" s="12"/>
    </row>
    <row r="398" ht="46.5" customHeight="1">
      <c r="A398" s="1"/>
      <c r="B398" s="2"/>
      <c r="C398" s="2"/>
      <c r="D398" s="3"/>
      <c r="E398" s="3"/>
      <c r="F398" s="3"/>
      <c r="G398" s="3"/>
      <c r="H398" s="4"/>
      <c r="I398" s="5"/>
      <c r="J398" s="6"/>
      <c r="K398" s="7"/>
      <c r="L398" s="8"/>
      <c r="M398" s="9"/>
      <c r="N398" s="9"/>
      <c r="O398" s="9"/>
      <c r="P398" s="10"/>
      <c r="Q398" s="11"/>
      <c r="R398" s="11"/>
      <c r="S398" s="11"/>
      <c r="T398" s="11"/>
      <c r="U398" s="11"/>
      <c r="V398" s="11"/>
      <c r="W398" s="11"/>
      <c r="X398" s="11"/>
      <c r="Y398" s="11"/>
      <c r="Z398" s="12"/>
      <c r="AA398" s="12"/>
      <c r="AB398" s="12"/>
      <c r="AC398" s="12"/>
      <c r="AD398" s="12"/>
      <c r="AE398" s="12"/>
      <c r="AF398" s="12"/>
    </row>
    <row r="399" ht="46.5" customHeight="1">
      <c r="A399" s="1"/>
      <c r="B399" s="2"/>
      <c r="C399" s="2"/>
      <c r="D399" s="3"/>
      <c r="E399" s="3"/>
      <c r="F399" s="3"/>
      <c r="G399" s="3"/>
      <c r="H399" s="4"/>
      <c r="I399" s="5"/>
      <c r="J399" s="6"/>
      <c r="K399" s="7"/>
      <c r="L399" s="8"/>
      <c r="M399" s="9"/>
      <c r="N399" s="9"/>
      <c r="O399" s="9"/>
      <c r="P399" s="10"/>
      <c r="Q399" s="11"/>
      <c r="R399" s="11"/>
      <c r="S399" s="11"/>
      <c r="T399" s="11"/>
      <c r="U399" s="11"/>
      <c r="V399" s="11"/>
      <c r="W399" s="11"/>
      <c r="X399" s="11"/>
      <c r="Y399" s="11"/>
      <c r="Z399" s="12"/>
      <c r="AA399" s="12"/>
      <c r="AB399" s="12"/>
      <c r="AC399" s="12"/>
      <c r="AD399" s="12"/>
      <c r="AE399" s="12"/>
      <c r="AF399" s="12"/>
    </row>
    <row r="400" ht="46.5" customHeight="1">
      <c r="A400" s="1"/>
      <c r="B400" s="2"/>
      <c r="C400" s="2"/>
      <c r="D400" s="3"/>
      <c r="E400" s="3"/>
      <c r="F400" s="3"/>
      <c r="G400" s="3"/>
      <c r="H400" s="4"/>
      <c r="I400" s="5"/>
      <c r="J400" s="6"/>
      <c r="K400" s="7"/>
      <c r="L400" s="8"/>
      <c r="M400" s="9"/>
      <c r="N400" s="9"/>
      <c r="O400" s="9"/>
      <c r="P400" s="10"/>
      <c r="Q400" s="11"/>
      <c r="R400" s="11"/>
      <c r="S400" s="11"/>
      <c r="T400" s="11"/>
      <c r="U400" s="11"/>
      <c r="V400" s="11"/>
      <c r="W400" s="11"/>
      <c r="X400" s="11"/>
      <c r="Y400" s="11"/>
      <c r="Z400" s="12"/>
      <c r="AA400" s="12"/>
      <c r="AB400" s="12"/>
      <c r="AC400" s="12"/>
      <c r="AD400" s="12"/>
      <c r="AE400" s="12"/>
      <c r="AF400" s="12"/>
    </row>
    <row r="401" ht="46.5" customHeight="1">
      <c r="A401" s="1"/>
      <c r="B401" s="2"/>
      <c r="C401" s="2"/>
      <c r="D401" s="3"/>
      <c r="E401" s="3"/>
      <c r="F401" s="3"/>
      <c r="G401" s="3"/>
      <c r="H401" s="4"/>
      <c r="I401" s="5"/>
      <c r="J401" s="6"/>
      <c r="K401" s="7"/>
      <c r="L401" s="8"/>
      <c r="M401" s="9"/>
      <c r="N401" s="9"/>
      <c r="O401" s="9"/>
      <c r="P401" s="10"/>
      <c r="Q401" s="11"/>
      <c r="R401" s="11"/>
      <c r="S401" s="11"/>
      <c r="T401" s="11"/>
      <c r="U401" s="11"/>
      <c r="V401" s="11"/>
      <c r="W401" s="11"/>
      <c r="X401" s="11"/>
      <c r="Y401" s="11"/>
      <c r="Z401" s="12"/>
      <c r="AA401" s="12"/>
      <c r="AB401" s="12"/>
      <c r="AC401" s="12"/>
      <c r="AD401" s="12"/>
      <c r="AE401" s="12"/>
      <c r="AF401" s="12"/>
    </row>
    <row r="402" ht="46.5" customHeight="1">
      <c r="A402" s="1"/>
      <c r="B402" s="2"/>
      <c r="C402" s="2"/>
      <c r="D402" s="3"/>
      <c r="E402" s="3"/>
      <c r="F402" s="3"/>
      <c r="G402" s="3"/>
      <c r="H402" s="4"/>
      <c r="I402" s="5"/>
      <c r="J402" s="6"/>
      <c r="K402" s="7"/>
      <c r="L402" s="8"/>
      <c r="M402" s="9"/>
      <c r="N402" s="9"/>
      <c r="O402" s="9"/>
      <c r="P402" s="10"/>
      <c r="Q402" s="11"/>
      <c r="R402" s="11"/>
      <c r="S402" s="11"/>
      <c r="T402" s="11"/>
      <c r="U402" s="11"/>
      <c r="V402" s="11"/>
      <c r="W402" s="11"/>
      <c r="X402" s="11"/>
      <c r="Y402" s="11"/>
      <c r="Z402" s="12"/>
      <c r="AA402" s="12"/>
      <c r="AB402" s="12"/>
      <c r="AC402" s="12"/>
      <c r="AD402" s="12"/>
      <c r="AE402" s="12"/>
      <c r="AF402" s="12"/>
    </row>
    <row r="403" ht="46.5" customHeight="1">
      <c r="A403" s="1"/>
      <c r="B403" s="2"/>
      <c r="C403" s="2"/>
      <c r="D403" s="3"/>
      <c r="E403" s="3"/>
      <c r="F403" s="3"/>
      <c r="G403" s="3"/>
      <c r="H403" s="4"/>
      <c r="I403" s="5"/>
      <c r="J403" s="6"/>
      <c r="K403" s="7"/>
      <c r="L403" s="8"/>
      <c r="M403" s="9"/>
      <c r="N403" s="9"/>
      <c r="O403" s="9"/>
      <c r="P403" s="10"/>
      <c r="Q403" s="11"/>
      <c r="R403" s="11"/>
      <c r="S403" s="11"/>
      <c r="T403" s="11"/>
      <c r="U403" s="11"/>
      <c r="V403" s="11"/>
      <c r="W403" s="11"/>
      <c r="X403" s="11"/>
      <c r="Y403" s="11"/>
      <c r="Z403" s="12"/>
      <c r="AA403" s="12"/>
      <c r="AB403" s="12"/>
      <c r="AC403" s="12"/>
      <c r="AD403" s="12"/>
      <c r="AE403" s="12"/>
      <c r="AF403" s="12"/>
    </row>
    <row r="404" ht="46.5" customHeight="1">
      <c r="A404" s="1"/>
      <c r="B404" s="2"/>
      <c r="C404" s="2"/>
      <c r="D404" s="3"/>
      <c r="E404" s="3"/>
      <c r="F404" s="3"/>
      <c r="G404" s="3"/>
      <c r="H404" s="4"/>
      <c r="I404" s="5"/>
      <c r="J404" s="6"/>
      <c r="K404" s="7"/>
      <c r="L404" s="8"/>
      <c r="M404" s="9"/>
      <c r="N404" s="9"/>
      <c r="O404" s="9"/>
      <c r="P404" s="10"/>
      <c r="Q404" s="11"/>
      <c r="R404" s="11"/>
      <c r="S404" s="11"/>
      <c r="T404" s="11"/>
      <c r="U404" s="11"/>
      <c r="V404" s="11"/>
      <c r="W404" s="11"/>
      <c r="X404" s="11"/>
      <c r="Y404" s="11"/>
      <c r="Z404" s="12"/>
      <c r="AA404" s="12"/>
      <c r="AB404" s="12"/>
      <c r="AC404" s="12"/>
      <c r="AD404" s="12"/>
      <c r="AE404" s="12"/>
      <c r="AF404" s="12"/>
    </row>
    <row r="405" ht="46.5" customHeight="1">
      <c r="A405" s="1"/>
      <c r="B405" s="2"/>
      <c r="C405" s="2"/>
      <c r="D405" s="3"/>
      <c r="E405" s="3"/>
      <c r="F405" s="3"/>
      <c r="G405" s="3"/>
      <c r="H405" s="4"/>
      <c r="I405" s="5"/>
      <c r="J405" s="6"/>
      <c r="K405" s="7"/>
      <c r="L405" s="8"/>
      <c r="M405" s="9"/>
      <c r="N405" s="9"/>
      <c r="O405" s="9"/>
      <c r="P405" s="10"/>
      <c r="Q405" s="11"/>
      <c r="R405" s="11"/>
      <c r="S405" s="11"/>
      <c r="T405" s="11"/>
      <c r="U405" s="11"/>
      <c r="V405" s="11"/>
      <c r="W405" s="11"/>
      <c r="X405" s="11"/>
      <c r="Y405" s="11"/>
      <c r="Z405" s="12"/>
      <c r="AA405" s="12"/>
      <c r="AB405" s="12"/>
      <c r="AC405" s="12"/>
      <c r="AD405" s="12"/>
      <c r="AE405" s="12"/>
      <c r="AF405" s="12"/>
    </row>
    <row r="406" ht="46.5" customHeight="1">
      <c r="A406" s="1"/>
      <c r="B406" s="2"/>
      <c r="C406" s="2"/>
      <c r="D406" s="3"/>
      <c r="E406" s="3"/>
      <c r="F406" s="3"/>
      <c r="G406" s="3"/>
      <c r="H406" s="4"/>
      <c r="I406" s="5"/>
      <c r="J406" s="6"/>
      <c r="K406" s="7"/>
      <c r="L406" s="8"/>
      <c r="M406" s="9"/>
      <c r="N406" s="9"/>
      <c r="O406" s="9"/>
      <c r="P406" s="10"/>
      <c r="Q406" s="11"/>
      <c r="R406" s="11"/>
      <c r="S406" s="11"/>
      <c r="T406" s="11"/>
      <c r="U406" s="11"/>
      <c r="V406" s="11"/>
      <c r="W406" s="11"/>
      <c r="X406" s="11"/>
      <c r="Y406" s="11"/>
      <c r="Z406" s="12"/>
      <c r="AA406" s="12"/>
      <c r="AB406" s="12"/>
      <c r="AC406" s="12"/>
      <c r="AD406" s="12"/>
      <c r="AE406" s="12"/>
      <c r="AF406" s="12"/>
    </row>
    <row r="407" ht="46.5" customHeight="1">
      <c r="A407" s="1"/>
      <c r="B407" s="2"/>
      <c r="C407" s="2"/>
      <c r="D407" s="3"/>
      <c r="E407" s="3"/>
      <c r="F407" s="3"/>
      <c r="G407" s="3"/>
      <c r="H407" s="4"/>
      <c r="I407" s="5"/>
      <c r="J407" s="6"/>
      <c r="K407" s="7"/>
      <c r="L407" s="8"/>
      <c r="M407" s="9"/>
      <c r="N407" s="9"/>
      <c r="O407" s="9"/>
      <c r="P407" s="10"/>
      <c r="Q407" s="11"/>
      <c r="R407" s="11"/>
      <c r="S407" s="11"/>
      <c r="T407" s="11"/>
      <c r="U407" s="11"/>
      <c r="V407" s="11"/>
      <c r="W407" s="11"/>
      <c r="X407" s="11"/>
      <c r="Y407" s="11"/>
      <c r="Z407" s="12"/>
      <c r="AA407" s="12"/>
      <c r="AB407" s="12"/>
      <c r="AC407" s="12"/>
      <c r="AD407" s="12"/>
      <c r="AE407" s="12"/>
      <c r="AF407" s="12"/>
    </row>
    <row r="408" ht="46.5" customHeight="1">
      <c r="A408" s="1"/>
      <c r="B408" s="2"/>
      <c r="C408" s="2"/>
      <c r="D408" s="3"/>
      <c r="E408" s="3"/>
      <c r="F408" s="3"/>
      <c r="G408" s="3"/>
      <c r="H408" s="4"/>
      <c r="I408" s="5"/>
      <c r="J408" s="6"/>
      <c r="K408" s="7"/>
      <c r="L408" s="8"/>
      <c r="M408" s="9"/>
      <c r="N408" s="9"/>
      <c r="O408" s="9"/>
      <c r="P408" s="10"/>
      <c r="Q408" s="11"/>
      <c r="R408" s="11"/>
      <c r="S408" s="11"/>
      <c r="T408" s="11"/>
      <c r="U408" s="11"/>
      <c r="V408" s="11"/>
      <c r="W408" s="11"/>
      <c r="X408" s="11"/>
      <c r="Y408" s="11"/>
      <c r="Z408" s="12"/>
      <c r="AA408" s="12"/>
      <c r="AB408" s="12"/>
      <c r="AC408" s="12"/>
      <c r="AD408" s="12"/>
      <c r="AE408" s="12"/>
      <c r="AF408" s="12"/>
    </row>
    <row r="409" ht="46.5" customHeight="1">
      <c r="A409" s="1"/>
      <c r="B409" s="2"/>
      <c r="C409" s="2"/>
      <c r="D409" s="3"/>
      <c r="E409" s="3"/>
      <c r="F409" s="3"/>
      <c r="G409" s="3"/>
      <c r="H409" s="4"/>
      <c r="I409" s="5"/>
      <c r="J409" s="6"/>
      <c r="K409" s="7"/>
      <c r="L409" s="8"/>
      <c r="M409" s="9"/>
      <c r="N409" s="9"/>
      <c r="O409" s="9"/>
      <c r="P409" s="10"/>
      <c r="Q409" s="11"/>
      <c r="R409" s="11"/>
      <c r="S409" s="11"/>
      <c r="T409" s="11"/>
      <c r="U409" s="11"/>
      <c r="V409" s="11"/>
      <c r="W409" s="11"/>
      <c r="X409" s="11"/>
      <c r="Y409" s="11"/>
      <c r="Z409" s="12"/>
      <c r="AA409" s="12"/>
      <c r="AB409" s="12"/>
      <c r="AC409" s="12"/>
      <c r="AD409" s="12"/>
      <c r="AE409" s="12"/>
      <c r="AF409" s="12"/>
    </row>
    <row r="410" ht="46.5" customHeight="1">
      <c r="A410" s="1"/>
      <c r="B410" s="2"/>
      <c r="C410" s="2"/>
      <c r="D410" s="3"/>
      <c r="E410" s="3"/>
      <c r="F410" s="3"/>
      <c r="G410" s="3"/>
      <c r="H410" s="4"/>
      <c r="I410" s="5"/>
      <c r="J410" s="6"/>
      <c r="K410" s="7"/>
      <c r="L410" s="8"/>
      <c r="M410" s="9"/>
      <c r="N410" s="9"/>
      <c r="O410" s="9"/>
      <c r="P410" s="10"/>
      <c r="Q410" s="11"/>
      <c r="R410" s="11"/>
      <c r="S410" s="11"/>
      <c r="T410" s="11"/>
      <c r="U410" s="11"/>
      <c r="V410" s="11"/>
      <c r="W410" s="11"/>
      <c r="X410" s="11"/>
      <c r="Y410" s="11"/>
      <c r="Z410" s="12"/>
      <c r="AA410" s="12"/>
      <c r="AB410" s="12"/>
      <c r="AC410" s="12"/>
      <c r="AD410" s="12"/>
      <c r="AE410" s="12"/>
      <c r="AF410" s="12"/>
    </row>
    <row r="411" ht="46.5" customHeight="1">
      <c r="A411" s="1"/>
      <c r="B411" s="2"/>
      <c r="C411" s="2"/>
      <c r="D411" s="3"/>
      <c r="E411" s="3"/>
      <c r="F411" s="3"/>
      <c r="G411" s="3"/>
      <c r="H411" s="4"/>
      <c r="I411" s="5"/>
      <c r="J411" s="6"/>
      <c r="K411" s="7"/>
      <c r="L411" s="8"/>
      <c r="M411" s="9"/>
      <c r="N411" s="9"/>
      <c r="O411" s="9"/>
      <c r="P411" s="10"/>
      <c r="Q411" s="11"/>
      <c r="R411" s="11"/>
      <c r="S411" s="11"/>
      <c r="T411" s="11"/>
      <c r="U411" s="11"/>
      <c r="V411" s="11"/>
      <c r="W411" s="11"/>
      <c r="X411" s="11"/>
      <c r="Y411" s="11"/>
      <c r="Z411" s="12"/>
      <c r="AA411" s="12"/>
      <c r="AB411" s="12"/>
      <c r="AC411" s="12"/>
      <c r="AD411" s="12"/>
      <c r="AE411" s="12"/>
      <c r="AF411" s="12"/>
    </row>
    <row r="412" ht="46.5" customHeight="1">
      <c r="A412" s="1"/>
      <c r="B412" s="2"/>
      <c r="C412" s="2"/>
      <c r="D412" s="3"/>
      <c r="E412" s="3"/>
      <c r="F412" s="3"/>
      <c r="G412" s="3"/>
      <c r="H412" s="4"/>
      <c r="I412" s="5"/>
      <c r="J412" s="6"/>
      <c r="K412" s="7"/>
      <c r="L412" s="8"/>
      <c r="M412" s="9"/>
      <c r="N412" s="9"/>
      <c r="O412" s="9"/>
      <c r="P412" s="10"/>
      <c r="Q412" s="11"/>
      <c r="R412" s="11"/>
      <c r="S412" s="11"/>
      <c r="T412" s="11"/>
      <c r="U412" s="11"/>
      <c r="V412" s="11"/>
      <c r="W412" s="11"/>
      <c r="X412" s="11"/>
      <c r="Y412" s="11"/>
      <c r="Z412" s="12"/>
      <c r="AA412" s="12"/>
      <c r="AB412" s="12"/>
      <c r="AC412" s="12"/>
      <c r="AD412" s="12"/>
      <c r="AE412" s="12"/>
      <c r="AF412" s="12"/>
    </row>
    <row r="413" ht="46.5" customHeight="1">
      <c r="A413" s="1"/>
      <c r="B413" s="2"/>
      <c r="C413" s="2"/>
      <c r="D413" s="3"/>
      <c r="E413" s="3"/>
      <c r="F413" s="3"/>
      <c r="G413" s="3"/>
      <c r="H413" s="4"/>
      <c r="I413" s="5"/>
      <c r="J413" s="6"/>
      <c r="K413" s="7"/>
      <c r="L413" s="8"/>
      <c r="M413" s="9"/>
      <c r="N413" s="9"/>
      <c r="O413" s="9"/>
      <c r="P413" s="10"/>
      <c r="Q413" s="11"/>
      <c r="R413" s="11"/>
      <c r="S413" s="11"/>
      <c r="T413" s="11"/>
      <c r="U413" s="11"/>
      <c r="V413" s="11"/>
      <c r="W413" s="11"/>
      <c r="X413" s="11"/>
      <c r="Y413" s="11"/>
      <c r="Z413" s="12"/>
      <c r="AA413" s="12"/>
      <c r="AB413" s="12"/>
      <c r="AC413" s="12"/>
      <c r="AD413" s="12"/>
      <c r="AE413" s="12"/>
      <c r="AF413" s="12"/>
    </row>
    <row r="414" ht="46.5" customHeight="1">
      <c r="A414" s="1"/>
      <c r="B414" s="2"/>
      <c r="C414" s="2"/>
      <c r="D414" s="3"/>
      <c r="E414" s="3"/>
      <c r="F414" s="3"/>
      <c r="G414" s="3"/>
      <c r="H414" s="4"/>
      <c r="I414" s="5"/>
      <c r="J414" s="6"/>
      <c r="K414" s="7"/>
      <c r="L414" s="8"/>
      <c r="M414" s="9"/>
      <c r="N414" s="9"/>
      <c r="O414" s="9"/>
      <c r="P414" s="10"/>
      <c r="Q414" s="11"/>
      <c r="R414" s="11"/>
      <c r="S414" s="11"/>
      <c r="T414" s="11"/>
      <c r="U414" s="11"/>
      <c r="V414" s="11"/>
      <c r="W414" s="11"/>
      <c r="X414" s="11"/>
      <c r="Y414" s="11"/>
      <c r="Z414" s="12"/>
      <c r="AA414" s="12"/>
      <c r="AB414" s="12"/>
      <c r="AC414" s="12"/>
      <c r="AD414" s="12"/>
      <c r="AE414" s="12"/>
      <c r="AF414" s="12"/>
    </row>
    <row r="415" ht="46.5" customHeight="1">
      <c r="A415" s="1"/>
      <c r="B415" s="2"/>
      <c r="C415" s="2"/>
      <c r="D415" s="3"/>
      <c r="E415" s="3"/>
      <c r="F415" s="3"/>
      <c r="G415" s="3"/>
      <c r="H415" s="4"/>
      <c r="I415" s="5"/>
      <c r="J415" s="6"/>
      <c r="K415" s="7"/>
      <c r="L415" s="8"/>
      <c r="M415" s="9"/>
      <c r="N415" s="9"/>
      <c r="O415" s="9"/>
      <c r="P415" s="10"/>
      <c r="Q415" s="11"/>
      <c r="R415" s="11"/>
      <c r="S415" s="11"/>
      <c r="T415" s="11"/>
      <c r="U415" s="11"/>
      <c r="V415" s="11"/>
      <c r="W415" s="11"/>
      <c r="X415" s="11"/>
      <c r="Y415" s="11"/>
      <c r="Z415" s="12"/>
      <c r="AA415" s="12"/>
      <c r="AB415" s="12"/>
      <c r="AC415" s="12"/>
      <c r="AD415" s="12"/>
      <c r="AE415" s="12"/>
      <c r="AF415" s="12"/>
    </row>
    <row r="416" ht="46.5" customHeight="1">
      <c r="A416" s="1"/>
      <c r="B416" s="2"/>
      <c r="C416" s="2"/>
      <c r="D416" s="3"/>
      <c r="E416" s="3"/>
      <c r="F416" s="3"/>
      <c r="G416" s="3"/>
      <c r="H416" s="4"/>
      <c r="I416" s="5"/>
      <c r="J416" s="6"/>
      <c r="K416" s="7"/>
      <c r="L416" s="8"/>
      <c r="M416" s="9"/>
      <c r="N416" s="9"/>
      <c r="O416" s="9"/>
      <c r="P416" s="10"/>
      <c r="Q416" s="11"/>
      <c r="R416" s="11"/>
      <c r="S416" s="11"/>
      <c r="T416" s="11"/>
      <c r="U416" s="11"/>
      <c r="V416" s="11"/>
      <c r="W416" s="11"/>
      <c r="X416" s="11"/>
      <c r="Y416" s="11"/>
      <c r="Z416" s="12"/>
      <c r="AA416" s="12"/>
      <c r="AB416" s="12"/>
      <c r="AC416" s="12"/>
      <c r="AD416" s="12"/>
      <c r="AE416" s="12"/>
      <c r="AF416" s="12"/>
    </row>
    <row r="417" ht="46.5" customHeight="1">
      <c r="A417" s="1"/>
      <c r="B417" s="2"/>
      <c r="C417" s="2"/>
      <c r="D417" s="3"/>
      <c r="E417" s="3"/>
      <c r="F417" s="3"/>
      <c r="G417" s="3"/>
      <c r="H417" s="4"/>
      <c r="I417" s="5"/>
      <c r="J417" s="6"/>
      <c r="K417" s="7"/>
      <c r="L417" s="8"/>
      <c r="M417" s="9"/>
      <c r="N417" s="9"/>
      <c r="O417" s="9"/>
      <c r="P417" s="10"/>
      <c r="Q417" s="11"/>
      <c r="R417" s="11"/>
      <c r="S417" s="11"/>
      <c r="T417" s="11"/>
      <c r="U417" s="11"/>
      <c r="V417" s="11"/>
      <c r="W417" s="11"/>
      <c r="X417" s="11"/>
      <c r="Y417" s="11"/>
      <c r="Z417" s="12"/>
      <c r="AA417" s="12"/>
      <c r="AB417" s="12"/>
      <c r="AC417" s="12"/>
      <c r="AD417" s="12"/>
      <c r="AE417" s="12"/>
      <c r="AF417" s="12"/>
    </row>
    <row r="418" ht="46.5" customHeight="1">
      <c r="A418" s="1"/>
      <c r="B418" s="2"/>
      <c r="C418" s="2"/>
      <c r="D418" s="3"/>
      <c r="E418" s="3"/>
      <c r="F418" s="3"/>
      <c r="G418" s="3"/>
      <c r="H418" s="4"/>
      <c r="I418" s="5"/>
      <c r="J418" s="6"/>
      <c r="K418" s="7"/>
      <c r="L418" s="8"/>
      <c r="M418" s="9"/>
      <c r="N418" s="9"/>
      <c r="O418" s="9"/>
      <c r="P418" s="10"/>
      <c r="Q418" s="11"/>
      <c r="R418" s="11"/>
      <c r="S418" s="11"/>
      <c r="T418" s="11"/>
      <c r="U418" s="11"/>
      <c r="V418" s="11"/>
      <c r="W418" s="11"/>
      <c r="X418" s="11"/>
      <c r="Y418" s="11"/>
      <c r="Z418" s="12"/>
      <c r="AA418" s="12"/>
      <c r="AB418" s="12"/>
      <c r="AC418" s="12"/>
      <c r="AD418" s="12"/>
      <c r="AE418" s="12"/>
      <c r="AF418" s="12"/>
    </row>
    <row r="419" ht="46.5" customHeight="1">
      <c r="A419" s="1"/>
      <c r="B419" s="2"/>
      <c r="C419" s="2"/>
      <c r="D419" s="3"/>
      <c r="E419" s="3"/>
      <c r="F419" s="3"/>
      <c r="G419" s="3"/>
      <c r="H419" s="4"/>
      <c r="I419" s="5"/>
      <c r="J419" s="6"/>
      <c r="K419" s="7"/>
      <c r="L419" s="8"/>
      <c r="M419" s="9"/>
      <c r="N419" s="9"/>
      <c r="O419" s="9"/>
      <c r="P419" s="10"/>
      <c r="Q419" s="11"/>
      <c r="R419" s="11"/>
      <c r="S419" s="11"/>
      <c r="T419" s="11"/>
      <c r="U419" s="11"/>
      <c r="V419" s="11"/>
      <c r="W419" s="11"/>
      <c r="X419" s="11"/>
      <c r="Y419" s="11"/>
      <c r="Z419" s="12"/>
      <c r="AA419" s="12"/>
      <c r="AB419" s="12"/>
      <c r="AC419" s="12"/>
      <c r="AD419" s="12"/>
      <c r="AE419" s="12"/>
      <c r="AF419" s="12"/>
    </row>
    <row r="420" ht="46.5" customHeight="1">
      <c r="A420" s="1"/>
      <c r="B420" s="2"/>
      <c r="C420" s="2"/>
      <c r="D420" s="3"/>
      <c r="E420" s="3"/>
      <c r="F420" s="3"/>
      <c r="G420" s="3"/>
      <c r="H420" s="4"/>
      <c r="I420" s="5"/>
      <c r="J420" s="6"/>
      <c r="K420" s="7"/>
      <c r="L420" s="8"/>
      <c r="M420" s="9"/>
      <c r="N420" s="9"/>
      <c r="O420" s="9"/>
      <c r="P420" s="10"/>
      <c r="Q420" s="11"/>
      <c r="R420" s="11"/>
      <c r="S420" s="11"/>
      <c r="T420" s="11"/>
      <c r="U420" s="11"/>
      <c r="V420" s="11"/>
      <c r="W420" s="11"/>
      <c r="X420" s="11"/>
      <c r="Y420" s="11"/>
      <c r="Z420" s="12"/>
      <c r="AA420" s="12"/>
      <c r="AB420" s="12"/>
      <c r="AC420" s="12"/>
      <c r="AD420" s="12"/>
      <c r="AE420" s="12"/>
      <c r="AF420" s="12"/>
    </row>
    <row r="421" ht="46.5" customHeight="1">
      <c r="A421" s="1"/>
      <c r="B421" s="2"/>
      <c r="C421" s="2"/>
      <c r="D421" s="3"/>
      <c r="E421" s="3"/>
      <c r="F421" s="3"/>
      <c r="G421" s="3"/>
      <c r="H421" s="4"/>
      <c r="I421" s="5"/>
      <c r="J421" s="6"/>
      <c r="K421" s="7"/>
      <c r="L421" s="8"/>
      <c r="M421" s="9"/>
      <c r="N421" s="9"/>
      <c r="O421" s="9"/>
      <c r="P421" s="10"/>
      <c r="Q421" s="11"/>
      <c r="R421" s="11"/>
      <c r="S421" s="11"/>
      <c r="T421" s="11"/>
      <c r="U421" s="11"/>
      <c r="V421" s="11"/>
      <c r="W421" s="11"/>
      <c r="X421" s="11"/>
      <c r="Y421" s="11"/>
      <c r="Z421" s="12"/>
      <c r="AA421" s="12"/>
      <c r="AB421" s="12"/>
      <c r="AC421" s="12"/>
      <c r="AD421" s="12"/>
      <c r="AE421" s="12"/>
      <c r="AF421" s="12"/>
    </row>
    <row r="422" ht="46.5" customHeight="1">
      <c r="A422" s="1"/>
      <c r="B422" s="2"/>
      <c r="C422" s="2"/>
      <c r="D422" s="3"/>
      <c r="E422" s="3"/>
      <c r="F422" s="3"/>
      <c r="G422" s="3"/>
      <c r="H422" s="4"/>
      <c r="I422" s="5"/>
      <c r="J422" s="6"/>
      <c r="K422" s="7"/>
      <c r="L422" s="8"/>
      <c r="M422" s="9"/>
      <c r="N422" s="9"/>
      <c r="O422" s="9"/>
      <c r="P422" s="10"/>
      <c r="Q422" s="11"/>
      <c r="R422" s="11"/>
      <c r="S422" s="11"/>
      <c r="T422" s="11"/>
      <c r="U422" s="11"/>
      <c r="V422" s="11"/>
      <c r="W422" s="11"/>
      <c r="X422" s="11"/>
      <c r="Y422" s="11"/>
      <c r="Z422" s="12"/>
      <c r="AA422" s="12"/>
      <c r="AB422" s="12"/>
      <c r="AC422" s="12"/>
      <c r="AD422" s="12"/>
      <c r="AE422" s="12"/>
      <c r="AF422" s="12"/>
    </row>
    <row r="423" ht="46.5" customHeight="1">
      <c r="A423" s="1"/>
      <c r="B423" s="2"/>
      <c r="C423" s="2"/>
      <c r="D423" s="3"/>
      <c r="E423" s="3"/>
      <c r="F423" s="3"/>
      <c r="G423" s="3"/>
      <c r="H423" s="4"/>
      <c r="I423" s="5"/>
      <c r="J423" s="6"/>
      <c r="K423" s="7"/>
      <c r="L423" s="8"/>
      <c r="M423" s="9"/>
      <c r="N423" s="9"/>
      <c r="O423" s="9"/>
      <c r="P423" s="10"/>
      <c r="Q423" s="11"/>
      <c r="R423" s="11"/>
      <c r="S423" s="11"/>
      <c r="T423" s="11"/>
      <c r="U423" s="11"/>
      <c r="V423" s="11"/>
      <c r="W423" s="11"/>
      <c r="X423" s="11"/>
      <c r="Y423" s="11"/>
      <c r="Z423" s="12"/>
      <c r="AA423" s="12"/>
      <c r="AB423" s="12"/>
      <c r="AC423" s="12"/>
      <c r="AD423" s="12"/>
      <c r="AE423" s="12"/>
      <c r="AF423" s="12"/>
    </row>
    <row r="424" ht="46.5" customHeight="1">
      <c r="A424" s="1"/>
      <c r="B424" s="2"/>
      <c r="C424" s="2"/>
      <c r="D424" s="3"/>
      <c r="E424" s="3"/>
      <c r="F424" s="3"/>
      <c r="G424" s="3"/>
      <c r="H424" s="4"/>
      <c r="I424" s="5"/>
      <c r="J424" s="6"/>
      <c r="K424" s="7"/>
      <c r="L424" s="8"/>
      <c r="M424" s="9"/>
      <c r="N424" s="9"/>
      <c r="O424" s="9"/>
      <c r="P424" s="10"/>
      <c r="Q424" s="11"/>
      <c r="R424" s="11"/>
      <c r="S424" s="11"/>
      <c r="T424" s="11"/>
      <c r="U424" s="11"/>
      <c r="V424" s="11"/>
      <c r="W424" s="11"/>
      <c r="X424" s="11"/>
      <c r="Y424" s="11"/>
      <c r="Z424" s="12"/>
      <c r="AA424" s="12"/>
      <c r="AB424" s="12"/>
      <c r="AC424" s="12"/>
      <c r="AD424" s="12"/>
      <c r="AE424" s="12"/>
      <c r="AF424" s="12"/>
    </row>
    <row r="425" ht="46.5" customHeight="1">
      <c r="A425" s="1"/>
      <c r="B425" s="2"/>
      <c r="C425" s="2"/>
      <c r="D425" s="3"/>
      <c r="E425" s="3"/>
      <c r="F425" s="3"/>
      <c r="G425" s="3"/>
      <c r="H425" s="4"/>
      <c r="I425" s="5"/>
      <c r="J425" s="6"/>
      <c r="K425" s="7"/>
      <c r="L425" s="8"/>
      <c r="M425" s="9"/>
      <c r="N425" s="9"/>
      <c r="O425" s="9"/>
      <c r="P425" s="10"/>
      <c r="Q425" s="11"/>
      <c r="R425" s="11"/>
      <c r="S425" s="11"/>
      <c r="T425" s="11"/>
      <c r="U425" s="11"/>
      <c r="V425" s="11"/>
      <c r="W425" s="11"/>
      <c r="X425" s="11"/>
      <c r="Y425" s="11"/>
      <c r="Z425" s="12"/>
      <c r="AA425" s="12"/>
      <c r="AB425" s="12"/>
      <c r="AC425" s="12"/>
      <c r="AD425" s="12"/>
      <c r="AE425" s="12"/>
      <c r="AF425" s="12"/>
    </row>
    <row r="426" ht="46.5" customHeight="1">
      <c r="A426" s="1"/>
      <c r="B426" s="2"/>
      <c r="C426" s="2"/>
      <c r="D426" s="3"/>
      <c r="E426" s="3"/>
      <c r="F426" s="3"/>
      <c r="G426" s="3"/>
      <c r="H426" s="4"/>
      <c r="I426" s="5"/>
      <c r="J426" s="6"/>
      <c r="K426" s="7"/>
      <c r="L426" s="8"/>
      <c r="M426" s="9"/>
      <c r="N426" s="9"/>
      <c r="O426" s="9"/>
      <c r="P426" s="10"/>
      <c r="Q426" s="11"/>
      <c r="R426" s="11"/>
      <c r="S426" s="11"/>
      <c r="T426" s="11"/>
      <c r="U426" s="11"/>
      <c r="V426" s="11"/>
      <c r="W426" s="11"/>
      <c r="X426" s="11"/>
      <c r="Y426" s="11"/>
      <c r="Z426" s="12"/>
      <c r="AA426" s="12"/>
      <c r="AB426" s="12"/>
      <c r="AC426" s="12"/>
      <c r="AD426" s="12"/>
      <c r="AE426" s="12"/>
      <c r="AF426" s="12"/>
    </row>
    <row r="427" ht="46.5" customHeight="1">
      <c r="A427" s="1"/>
      <c r="B427" s="2"/>
      <c r="C427" s="2"/>
      <c r="D427" s="3"/>
      <c r="E427" s="3"/>
      <c r="F427" s="3"/>
      <c r="G427" s="3"/>
      <c r="H427" s="4"/>
      <c r="I427" s="5"/>
      <c r="J427" s="6"/>
      <c r="K427" s="7"/>
      <c r="L427" s="8"/>
      <c r="M427" s="9"/>
      <c r="N427" s="9"/>
      <c r="O427" s="9"/>
      <c r="P427" s="10"/>
      <c r="Q427" s="11"/>
      <c r="R427" s="11"/>
      <c r="S427" s="11"/>
      <c r="T427" s="11"/>
      <c r="U427" s="11"/>
      <c r="V427" s="11"/>
      <c r="W427" s="11"/>
      <c r="X427" s="11"/>
      <c r="Y427" s="11"/>
      <c r="Z427" s="12"/>
      <c r="AA427" s="12"/>
      <c r="AB427" s="12"/>
      <c r="AC427" s="12"/>
      <c r="AD427" s="12"/>
      <c r="AE427" s="12"/>
      <c r="AF427" s="12"/>
    </row>
    <row r="428" ht="46.5" customHeight="1">
      <c r="A428" s="1"/>
      <c r="B428" s="2"/>
      <c r="C428" s="2"/>
      <c r="D428" s="3"/>
      <c r="E428" s="3"/>
      <c r="F428" s="3"/>
      <c r="G428" s="3"/>
      <c r="H428" s="4"/>
      <c r="I428" s="5"/>
      <c r="J428" s="6"/>
      <c r="K428" s="7"/>
      <c r="L428" s="8"/>
      <c r="M428" s="9"/>
      <c r="N428" s="9"/>
      <c r="O428" s="9"/>
      <c r="P428" s="10"/>
      <c r="Q428" s="11"/>
      <c r="R428" s="11"/>
      <c r="S428" s="11"/>
      <c r="T428" s="11"/>
      <c r="U428" s="11"/>
      <c r="V428" s="11"/>
      <c r="W428" s="11"/>
      <c r="X428" s="11"/>
      <c r="Y428" s="11"/>
      <c r="Z428" s="12"/>
      <c r="AA428" s="12"/>
      <c r="AB428" s="12"/>
      <c r="AC428" s="12"/>
      <c r="AD428" s="12"/>
      <c r="AE428" s="12"/>
      <c r="AF428" s="12"/>
    </row>
    <row r="429" ht="46.5" customHeight="1">
      <c r="A429" s="1"/>
      <c r="B429" s="2"/>
      <c r="C429" s="2"/>
      <c r="D429" s="3"/>
      <c r="E429" s="3"/>
      <c r="F429" s="3"/>
      <c r="G429" s="3"/>
      <c r="H429" s="4"/>
      <c r="I429" s="5"/>
      <c r="J429" s="6"/>
      <c r="K429" s="7"/>
      <c r="L429" s="8"/>
      <c r="M429" s="9"/>
      <c r="N429" s="9"/>
      <c r="O429" s="9"/>
      <c r="P429" s="10"/>
      <c r="Q429" s="11"/>
      <c r="R429" s="11"/>
      <c r="S429" s="11"/>
      <c r="T429" s="11"/>
      <c r="U429" s="11"/>
      <c r="V429" s="11"/>
      <c r="W429" s="11"/>
      <c r="X429" s="11"/>
      <c r="Y429" s="11"/>
      <c r="Z429" s="12"/>
      <c r="AA429" s="12"/>
      <c r="AB429" s="12"/>
      <c r="AC429" s="12"/>
      <c r="AD429" s="12"/>
      <c r="AE429" s="12"/>
      <c r="AF429" s="12"/>
    </row>
    <row r="430" ht="46.5" customHeight="1">
      <c r="A430" s="1"/>
      <c r="B430" s="2"/>
      <c r="C430" s="2"/>
      <c r="D430" s="3"/>
      <c r="E430" s="3"/>
      <c r="F430" s="3"/>
      <c r="G430" s="3"/>
      <c r="H430" s="4"/>
      <c r="I430" s="5"/>
      <c r="J430" s="6"/>
      <c r="K430" s="7"/>
      <c r="L430" s="8"/>
      <c r="M430" s="9"/>
      <c r="N430" s="9"/>
      <c r="O430" s="9"/>
      <c r="P430" s="10"/>
      <c r="Q430" s="11"/>
      <c r="R430" s="11"/>
      <c r="S430" s="11"/>
      <c r="T430" s="11"/>
      <c r="U430" s="11"/>
      <c r="V430" s="11"/>
      <c r="W430" s="11"/>
      <c r="X430" s="11"/>
      <c r="Y430" s="11"/>
      <c r="Z430" s="12"/>
      <c r="AA430" s="12"/>
      <c r="AB430" s="12"/>
      <c r="AC430" s="12"/>
      <c r="AD430" s="12"/>
      <c r="AE430" s="12"/>
      <c r="AF430" s="12"/>
    </row>
    <row r="431" ht="46.5" customHeight="1">
      <c r="A431" s="1"/>
      <c r="B431" s="2"/>
      <c r="C431" s="2"/>
      <c r="D431" s="3"/>
      <c r="E431" s="3"/>
      <c r="F431" s="3"/>
      <c r="G431" s="3"/>
      <c r="H431" s="4"/>
      <c r="I431" s="5"/>
      <c r="J431" s="6"/>
      <c r="K431" s="7"/>
      <c r="L431" s="8"/>
      <c r="M431" s="9"/>
      <c r="N431" s="9"/>
      <c r="O431" s="9"/>
      <c r="P431" s="10"/>
      <c r="Q431" s="11"/>
      <c r="R431" s="11"/>
      <c r="S431" s="11"/>
      <c r="T431" s="11"/>
      <c r="U431" s="11"/>
      <c r="V431" s="11"/>
      <c r="W431" s="11"/>
      <c r="X431" s="11"/>
      <c r="Y431" s="11"/>
      <c r="Z431" s="12"/>
      <c r="AA431" s="12"/>
      <c r="AB431" s="12"/>
      <c r="AC431" s="12"/>
      <c r="AD431" s="12"/>
      <c r="AE431" s="12"/>
      <c r="AF431" s="12"/>
    </row>
    <row r="432" ht="46.5" customHeight="1">
      <c r="A432" s="1"/>
      <c r="B432" s="2"/>
      <c r="C432" s="2"/>
      <c r="D432" s="3"/>
      <c r="E432" s="3"/>
      <c r="F432" s="3"/>
      <c r="G432" s="3"/>
      <c r="H432" s="4"/>
      <c r="I432" s="5"/>
      <c r="J432" s="6"/>
      <c r="K432" s="7"/>
      <c r="L432" s="8"/>
      <c r="M432" s="9"/>
      <c r="N432" s="9"/>
      <c r="O432" s="9"/>
      <c r="P432" s="10"/>
      <c r="Q432" s="11"/>
      <c r="R432" s="11"/>
      <c r="S432" s="11"/>
      <c r="T432" s="11"/>
      <c r="U432" s="11"/>
      <c r="V432" s="11"/>
      <c r="W432" s="11"/>
      <c r="X432" s="11"/>
      <c r="Y432" s="11"/>
      <c r="Z432" s="12"/>
      <c r="AA432" s="12"/>
      <c r="AB432" s="12"/>
      <c r="AC432" s="12"/>
      <c r="AD432" s="12"/>
      <c r="AE432" s="12"/>
      <c r="AF432" s="12"/>
    </row>
    <row r="433" ht="46.5" customHeight="1">
      <c r="A433" s="1"/>
      <c r="B433" s="2"/>
      <c r="C433" s="2"/>
      <c r="D433" s="3"/>
      <c r="E433" s="3"/>
      <c r="F433" s="3"/>
      <c r="G433" s="3"/>
      <c r="H433" s="4"/>
      <c r="I433" s="5"/>
      <c r="J433" s="6"/>
      <c r="K433" s="7"/>
      <c r="L433" s="8"/>
      <c r="M433" s="9"/>
      <c r="N433" s="9"/>
      <c r="O433" s="9"/>
      <c r="P433" s="10"/>
      <c r="Q433" s="11"/>
      <c r="R433" s="11"/>
      <c r="S433" s="11"/>
      <c r="T433" s="11"/>
      <c r="U433" s="11"/>
      <c r="V433" s="11"/>
      <c r="W433" s="11"/>
      <c r="X433" s="11"/>
      <c r="Y433" s="11"/>
      <c r="Z433" s="12"/>
      <c r="AA433" s="12"/>
      <c r="AB433" s="12"/>
      <c r="AC433" s="12"/>
      <c r="AD433" s="12"/>
      <c r="AE433" s="12"/>
      <c r="AF433" s="12"/>
    </row>
    <row r="434" ht="46.5" customHeight="1">
      <c r="A434" s="1"/>
      <c r="B434" s="2"/>
      <c r="C434" s="2"/>
      <c r="D434" s="3"/>
      <c r="E434" s="3"/>
      <c r="F434" s="3"/>
      <c r="G434" s="3"/>
      <c r="H434" s="4"/>
      <c r="I434" s="5"/>
      <c r="J434" s="6"/>
      <c r="K434" s="7"/>
      <c r="L434" s="8"/>
      <c r="M434" s="9"/>
      <c r="N434" s="9"/>
      <c r="O434" s="9"/>
      <c r="P434" s="10"/>
      <c r="Q434" s="11"/>
      <c r="R434" s="11"/>
      <c r="S434" s="11"/>
      <c r="T434" s="11"/>
      <c r="U434" s="11"/>
      <c r="V434" s="11"/>
      <c r="W434" s="11"/>
      <c r="X434" s="11"/>
      <c r="Y434" s="11"/>
      <c r="Z434" s="12"/>
      <c r="AA434" s="12"/>
      <c r="AB434" s="12"/>
      <c r="AC434" s="12"/>
      <c r="AD434" s="12"/>
      <c r="AE434" s="12"/>
      <c r="AF434" s="12"/>
    </row>
    <row r="435" ht="46.5" customHeight="1">
      <c r="A435" s="1"/>
      <c r="B435" s="2"/>
      <c r="C435" s="2"/>
      <c r="D435" s="3"/>
      <c r="E435" s="3"/>
      <c r="F435" s="3"/>
      <c r="G435" s="3"/>
      <c r="H435" s="4"/>
      <c r="I435" s="5"/>
      <c r="J435" s="6"/>
      <c r="K435" s="7"/>
      <c r="L435" s="8"/>
      <c r="M435" s="9"/>
      <c r="N435" s="9"/>
      <c r="O435" s="9"/>
      <c r="P435" s="10"/>
      <c r="Q435" s="11"/>
      <c r="R435" s="11"/>
      <c r="S435" s="11"/>
      <c r="T435" s="11"/>
      <c r="U435" s="11"/>
      <c r="V435" s="11"/>
      <c r="W435" s="11"/>
      <c r="X435" s="11"/>
      <c r="Y435" s="11"/>
      <c r="Z435" s="12"/>
      <c r="AA435" s="12"/>
      <c r="AB435" s="12"/>
      <c r="AC435" s="12"/>
      <c r="AD435" s="12"/>
      <c r="AE435" s="12"/>
      <c r="AF435" s="12"/>
    </row>
    <row r="436" ht="46.5" customHeight="1">
      <c r="A436" s="1"/>
      <c r="B436" s="2"/>
      <c r="C436" s="2"/>
      <c r="D436" s="3"/>
      <c r="E436" s="3"/>
      <c r="F436" s="3"/>
      <c r="G436" s="3"/>
      <c r="H436" s="4"/>
      <c r="I436" s="5"/>
      <c r="J436" s="6"/>
      <c r="K436" s="7"/>
      <c r="L436" s="8"/>
      <c r="M436" s="9"/>
      <c r="N436" s="9"/>
      <c r="O436" s="9"/>
      <c r="P436" s="10"/>
      <c r="Q436" s="11"/>
      <c r="R436" s="11"/>
      <c r="S436" s="11"/>
      <c r="T436" s="11"/>
      <c r="U436" s="11"/>
      <c r="V436" s="11"/>
      <c r="W436" s="11"/>
      <c r="X436" s="11"/>
      <c r="Y436" s="11"/>
      <c r="Z436" s="12"/>
      <c r="AA436" s="12"/>
      <c r="AB436" s="12"/>
      <c r="AC436" s="12"/>
      <c r="AD436" s="12"/>
      <c r="AE436" s="12"/>
      <c r="AF436" s="12"/>
    </row>
    <row r="437" ht="46.5" customHeight="1">
      <c r="A437" s="1"/>
      <c r="B437" s="2"/>
      <c r="C437" s="2"/>
      <c r="D437" s="3"/>
      <c r="E437" s="3"/>
      <c r="F437" s="3"/>
      <c r="G437" s="3"/>
      <c r="H437" s="4"/>
      <c r="I437" s="5"/>
      <c r="J437" s="6"/>
      <c r="K437" s="7"/>
      <c r="L437" s="8"/>
      <c r="M437" s="9"/>
      <c r="N437" s="9"/>
      <c r="O437" s="9"/>
      <c r="P437" s="10"/>
      <c r="Q437" s="11"/>
      <c r="R437" s="11"/>
      <c r="S437" s="11"/>
      <c r="T437" s="11"/>
      <c r="U437" s="11"/>
      <c r="V437" s="11"/>
      <c r="W437" s="11"/>
      <c r="X437" s="11"/>
      <c r="Y437" s="11"/>
      <c r="Z437" s="12"/>
      <c r="AA437" s="12"/>
      <c r="AB437" s="12"/>
      <c r="AC437" s="12"/>
      <c r="AD437" s="12"/>
      <c r="AE437" s="12"/>
      <c r="AF437" s="12"/>
    </row>
    <row r="438" ht="46.5" customHeight="1">
      <c r="A438" s="1"/>
      <c r="B438" s="2"/>
      <c r="C438" s="2"/>
      <c r="D438" s="3"/>
      <c r="E438" s="3"/>
      <c r="F438" s="3"/>
      <c r="G438" s="3"/>
      <c r="H438" s="4"/>
      <c r="I438" s="5"/>
      <c r="J438" s="6"/>
      <c r="K438" s="7"/>
      <c r="L438" s="8"/>
      <c r="M438" s="9"/>
      <c r="N438" s="9"/>
      <c r="O438" s="9"/>
      <c r="P438" s="10"/>
      <c r="Q438" s="11"/>
      <c r="R438" s="11"/>
      <c r="S438" s="11"/>
      <c r="T438" s="11"/>
      <c r="U438" s="11"/>
      <c r="V438" s="11"/>
      <c r="W438" s="11"/>
      <c r="X438" s="11"/>
      <c r="Y438" s="11"/>
      <c r="Z438" s="12"/>
      <c r="AA438" s="12"/>
      <c r="AB438" s="12"/>
      <c r="AC438" s="12"/>
      <c r="AD438" s="12"/>
      <c r="AE438" s="12"/>
      <c r="AF438" s="12"/>
    </row>
    <row r="439" ht="46.5" customHeight="1">
      <c r="A439" s="1"/>
      <c r="B439" s="2"/>
      <c r="C439" s="2"/>
      <c r="D439" s="3"/>
      <c r="E439" s="3"/>
      <c r="F439" s="3"/>
      <c r="G439" s="3"/>
      <c r="H439" s="4"/>
      <c r="I439" s="5"/>
      <c r="J439" s="6"/>
      <c r="K439" s="7"/>
      <c r="L439" s="8"/>
      <c r="M439" s="9"/>
      <c r="N439" s="9"/>
      <c r="O439" s="9"/>
      <c r="P439" s="10"/>
      <c r="Q439" s="11"/>
      <c r="R439" s="11"/>
      <c r="S439" s="11"/>
      <c r="T439" s="11"/>
      <c r="U439" s="11"/>
      <c r="V439" s="11"/>
      <c r="W439" s="11"/>
      <c r="X439" s="11"/>
      <c r="Y439" s="11"/>
      <c r="Z439" s="12"/>
      <c r="AA439" s="12"/>
      <c r="AB439" s="12"/>
      <c r="AC439" s="12"/>
      <c r="AD439" s="12"/>
      <c r="AE439" s="12"/>
      <c r="AF439" s="12"/>
    </row>
    <row r="440" ht="46.5" customHeight="1">
      <c r="A440" s="1"/>
      <c r="B440" s="2"/>
      <c r="C440" s="2"/>
      <c r="D440" s="3"/>
      <c r="E440" s="3"/>
      <c r="F440" s="3"/>
      <c r="G440" s="3"/>
      <c r="H440" s="4"/>
      <c r="I440" s="5"/>
      <c r="J440" s="6"/>
      <c r="K440" s="7"/>
      <c r="L440" s="8"/>
      <c r="M440" s="9"/>
      <c r="N440" s="9"/>
      <c r="O440" s="9"/>
      <c r="P440" s="10"/>
      <c r="Q440" s="11"/>
      <c r="R440" s="11"/>
      <c r="S440" s="11"/>
      <c r="T440" s="11"/>
      <c r="U440" s="11"/>
      <c r="V440" s="11"/>
      <c r="W440" s="11"/>
      <c r="X440" s="11"/>
      <c r="Y440" s="11"/>
      <c r="Z440" s="12"/>
      <c r="AA440" s="12"/>
      <c r="AB440" s="12"/>
      <c r="AC440" s="12"/>
      <c r="AD440" s="12"/>
      <c r="AE440" s="12"/>
      <c r="AF440" s="12"/>
    </row>
    <row r="441" ht="46.5" customHeight="1">
      <c r="A441" s="1"/>
      <c r="B441" s="2"/>
      <c r="C441" s="2"/>
      <c r="D441" s="3"/>
      <c r="E441" s="3"/>
      <c r="F441" s="3"/>
      <c r="G441" s="3"/>
      <c r="H441" s="4"/>
      <c r="I441" s="5"/>
      <c r="J441" s="6"/>
      <c r="K441" s="7"/>
      <c r="L441" s="8"/>
      <c r="M441" s="9"/>
      <c r="N441" s="9"/>
      <c r="O441" s="9"/>
      <c r="P441" s="10"/>
      <c r="Q441" s="11"/>
      <c r="R441" s="11"/>
      <c r="S441" s="11"/>
      <c r="T441" s="11"/>
      <c r="U441" s="11"/>
      <c r="V441" s="11"/>
      <c r="W441" s="11"/>
      <c r="X441" s="11"/>
      <c r="Y441" s="11"/>
      <c r="Z441" s="12"/>
      <c r="AA441" s="12"/>
      <c r="AB441" s="12"/>
      <c r="AC441" s="12"/>
      <c r="AD441" s="12"/>
      <c r="AE441" s="12"/>
      <c r="AF441" s="12"/>
    </row>
    <row r="442" ht="46.5" customHeight="1">
      <c r="A442" s="1"/>
      <c r="B442" s="2"/>
      <c r="C442" s="2"/>
      <c r="D442" s="3"/>
      <c r="E442" s="3"/>
      <c r="F442" s="3"/>
      <c r="G442" s="3"/>
      <c r="H442" s="4"/>
      <c r="I442" s="5"/>
      <c r="J442" s="6"/>
      <c r="K442" s="7"/>
      <c r="L442" s="8"/>
      <c r="M442" s="9"/>
      <c r="N442" s="9"/>
      <c r="O442" s="9"/>
      <c r="P442" s="10"/>
      <c r="Q442" s="11"/>
      <c r="R442" s="11"/>
      <c r="S442" s="11"/>
      <c r="T442" s="11"/>
      <c r="U442" s="11"/>
      <c r="V442" s="11"/>
      <c r="W442" s="11"/>
      <c r="X442" s="11"/>
      <c r="Y442" s="11"/>
      <c r="Z442" s="12"/>
      <c r="AA442" s="12"/>
      <c r="AB442" s="12"/>
      <c r="AC442" s="12"/>
      <c r="AD442" s="12"/>
      <c r="AE442" s="12"/>
      <c r="AF442" s="12"/>
    </row>
    <row r="443" ht="46.5" customHeight="1">
      <c r="A443" s="1"/>
      <c r="B443" s="2"/>
      <c r="C443" s="2"/>
      <c r="D443" s="3"/>
      <c r="E443" s="3"/>
      <c r="F443" s="3"/>
      <c r="G443" s="3"/>
      <c r="H443" s="4"/>
      <c r="I443" s="5"/>
      <c r="J443" s="6"/>
      <c r="K443" s="7"/>
      <c r="L443" s="8"/>
      <c r="M443" s="9"/>
      <c r="N443" s="9"/>
      <c r="O443" s="9"/>
      <c r="P443" s="10"/>
      <c r="Q443" s="11"/>
      <c r="R443" s="11"/>
      <c r="S443" s="11"/>
      <c r="T443" s="11"/>
      <c r="U443" s="11"/>
      <c r="V443" s="11"/>
      <c r="W443" s="11"/>
      <c r="X443" s="11"/>
      <c r="Y443" s="11"/>
      <c r="Z443" s="12"/>
      <c r="AA443" s="12"/>
      <c r="AB443" s="12"/>
      <c r="AC443" s="12"/>
      <c r="AD443" s="12"/>
      <c r="AE443" s="12"/>
      <c r="AF443" s="12"/>
    </row>
    <row r="444" ht="46.5" customHeight="1">
      <c r="A444" s="1"/>
      <c r="B444" s="2"/>
      <c r="C444" s="2"/>
      <c r="D444" s="3"/>
      <c r="E444" s="3"/>
      <c r="F444" s="3"/>
      <c r="G444" s="3"/>
      <c r="H444" s="4"/>
      <c r="I444" s="5"/>
      <c r="J444" s="6"/>
      <c r="K444" s="7"/>
      <c r="L444" s="8"/>
      <c r="M444" s="9"/>
      <c r="N444" s="9"/>
      <c r="O444" s="9"/>
      <c r="P444" s="10"/>
      <c r="Q444" s="11"/>
      <c r="R444" s="11"/>
      <c r="S444" s="11"/>
      <c r="T444" s="11"/>
      <c r="U444" s="11"/>
      <c r="V444" s="11"/>
      <c r="W444" s="11"/>
      <c r="X444" s="11"/>
      <c r="Y444" s="11"/>
      <c r="Z444" s="12"/>
      <c r="AA444" s="12"/>
      <c r="AB444" s="12"/>
      <c r="AC444" s="12"/>
      <c r="AD444" s="12"/>
      <c r="AE444" s="12"/>
      <c r="AF444" s="12"/>
    </row>
    <row r="445" ht="46.5" customHeight="1">
      <c r="A445" s="1"/>
      <c r="B445" s="2"/>
      <c r="C445" s="2"/>
      <c r="D445" s="3"/>
      <c r="E445" s="3"/>
      <c r="F445" s="3"/>
      <c r="G445" s="3"/>
      <c r="H445" s="4"/>
      <c r="I445" s="5"/>
      <c r="J445" s="6"/>
      <c r="K445" s="7"/>
      <c r="L445" s="8"/>
      <c r="M445" s="9"/>
      <c r="N445" s="9"/>
      <c r="O445" s="9"/>
      <c r="P445" s="10"/>
      <c r="Q445" s="11"/>
      <c r="R445" s="11"/>
      <c r="S445" s="11"/>
      <c r="T445" s="11"/>
      <c r="U445" s="11"/>
      <c r="V445" s="11"/>
      <c r="W445" s="11"/>
      <c r="X445" s="11"/>
      <c r="Y445" s="11"/>
      <c r="Z445" s="12"/>
      <c r="AA445" s="12"/>
      <c r="AB445" s="12"/>
      <c r="AC445" s="12"/>
      <c r="AD445" s="12"/>
      <c r="AE445" s="12"/>
      <c r="AF445" s="12"/>
    </row>
    <row r="446" ht="46.5" customHeight="1">
      <c r="A446" s="1"/>
      <c r="B446" s="2"/>
      <c r="C446" s="2"/>
      <c r="D446" s="3"/>
      <c r="E446" s="3"/>
      <c r="F446" s="3"/>
      <c r="G446" s="3"/>
      <c r="H446" s="4"/>
      <c r="I446" s="5"/>
      <c r="J446" s="6"/>
      <c r="K446" s="7"/>
      <c r="L446" s="8"/>
      <c r="M446" s="9"/>
      <c r="N446" s="9"/>
      <c r="O446" s="9"/>
      <c r="P446" s="10"/>
      <c r="Q446" s="11"/>
      <c r="R446" s="11"/>
      <c r="S446" s="11"/>
      <c r="T446" s="11"/>
      <c r="U446" s="11"/>
      <c r="V446" s="11"/>
      <c r="W446" s="11"/>
      <c r="X446" s="11"/>
      <c r="Y446" s="11"/>
      <c r="Z446" s="12"/>
      <c r="AA446" s="12"/>
      <c r="AB446" s="12"/>
      <c r="AC446" s="12"/>
      <c r="AD446" s="12"/>
      <c r="AE446" s="12"/>
      <c r="AF446" s="12"/>
    </row>
    <row r="447" ht="46.5" customHeight="1">
      <c r="A447" s="1"/>
      <c r="B447" s="2"/>
      <c r="C447" s="2"/>
      <c r="D447" s="3"/>
      <c r="E447" s="3"/>
      <c r="F447" s="3"/>
      <c r="G447" s="3"/>
      <c r="H447" s="4"/>
      <c r="I447" s="5"/>
      <c r="J447" s="6"/>
      <c r="K447" s="7"/>
      <c r="L447" s="8"/>
      <c r="M447" s="9"/>
      <c r="N447" s="9"/>
      <c r="O447" s="9"/>
      <c r="P447" s="10"/>
      <c r="Q447" s="11"/>
      <c r="R447" s="11"/>
      <c r="S447" s="11"/>
      <c r="T447" s="11"/>
      <c r="U447" s="11"/>
      <c r="V447" s="11"/>
      <c r="W447" s="11"/>
      <c r="X447" s="11"/>
      <c r="Y447" s="11"/>
      <c r="Z447" s="12"/>
      <c r="AA447" s="12"/>
      <c r="AB447" s="12"/>
      <c r="AC447" s="12"/>
      <c r="AD447" s="12"/>
      <c r="AE447" s="12"/>
      <c r="AF447" s="12"/>
    </row>
    <row r="448" ht="46.5" customHeight="1">
      <c r="A448" s="1"/>
      <c r="B448" s="2"/>
      <c r="C448" s="2"/>
      <c r="D448" s="3"/>
      <c r="E448" s="3"/>
      <c r="F448" s="3"/>
      <c r="G448" s="3"/>
      <c r="H448" s="4"/>
      <c r="I448" s="5"/>
      <c r="J448" s="6"/>
      <c r="K448" s="7"/>
      <c r="L448" s="8"/>
      <c r="M448" s="9"/>
      <c r="N448" s="9"/>
      <c r="O448" s="9"/>
      <c r="P448" s="10"/>
      <c r="Q448" s="11"/>
      <c r="R448" s="11"/>
      <c r="S448" s="11"/>
      <c r="T448" s="11"/>
      <c r="U448" s="11"/>
      <c r="V448" s="11"/>
      <c r="W448" s="11"/>
      <c r="X448" s="11"/>
      <c r="Y448" s="11"/>
      <c r="Z448" s="12"/>
      <c r="AA448" s="12"/>
      <c r="AB448" s="12"/>
      <c r="AC448" s="12"/>
      <c r="AD448" s="12"/>
      <c r="AE448" s="12"/>
      <c r="AF448" s="12"/>
    </row>
    <row r="449" ht="46.5" customHeight="1">
      <c r="A449" s="1"/>
      <c r="B449" s="2"/>
      <c r="C449" s="2"/>
      <c r="D449" s="3"/>
      <c r="E449" s="3"/>
      <c r="F449" s="3"/>
      <c r="G449" s="3"/>
      <c r="H449" s="4"/>
      <c r="I449" s="5"/>
      <c r="J449" s="6"/>
      <c r="K449" s="7"/>
      <c r="L449" s="8"/>
      <c r="M449" s="9"/>
      <c r="N449" s="9"/>
      <c r="O449" s="9"/>
      <c r="P449" s="10"/>
      <c r="Q449" s="11"/>
      <c r="R449" s="11"/>
      <c r="S449" s="11"/>
      <c r="T449" s="11"/>
      <c r="U449" s="11"/>
      <c r="V449" s="11"/>
      <c r="W449" s="11"/>
      <c r="X449" s="11"/>
      <c r="Y449" s="11"/>
      <c r="Z449" s="12"/>
      <c r="AA449" s="12"/>
      <c r="AB449" s="12"/>
      <c r="AC449" s="12"/>
      <c r="AD449" s="12"/>
      <c r="AE449" s="12"/>
      <c r="AF449" s="12"/>
    </row>
    <row r="450" ht="46.5" customHeight="1">
      <c r="A450" s="1"/>
      <c r="B450" s="2"/>
      <c r="C450" s="2"/>
      <c r="D450" s="3"/>
      <c r="E450" s="3"/>
      <c r="F450" s="3"/>
      <c r="G450" s="3"/>
      <c r="H450" s="4"/>
      <c r="I450" s="5"/>
      <c r="J450" s="6"/>
      <c r="K450" s="7"/>
      <c r="L450" s="8"/>
      <c r="M450" s="9"/>
      <c r="N450" s="9"/>
      <c r="O450" s="9"/>
      <c r="P450" s="10"/>
      <c r="Q450" s="11"/>
      <c r="R450" s="11"/>
      <c r="S450" s="11"/>
      <c r="T450" s="11"/>
      <c r="U450" s="11"/>
      <c r="V450" s="11"/>
      <c r="W450" s="11"/>
      <c r="X450" s="11"/>
      <c r="Y450" s="11"/>
      <c r="Z450" s="12"/>
      <c r="AA450" s="12"/>
      <c r="AB450" s="12"/>
      <c r="AC450" s="12"/>
      <c r="AD450" s="12"/>
      <c r="AE450" s="12"/>
      <c r="AF450" s="12"/>
    </row>
    <row r="451" ht="46.5" customHeight="1">
      <c r="A451" s="1"/>
      <c r="B451" s="2"/>
      <c r="C451" s="2"/>
      <c r="D451" s="3"/>
      <c r="E451" s="3"/>
      <c r="F451" s="3"/>
      <c r="G451" s="3"/>
      <c r="H451" s="4"/>
      <c r="I451" s="5"/>
      <c r="J451" s="6"/>
      <c r="K451" s="7"/>
      <c r="L451" s="8"/>
      <c r="M451" s="9"/>
      <c r="N451" s="9"/>
      <c r="O451" s="9"/>
      <c r="P451" s="10"/>
      <c r="Q451" s="11"/>
      <c r="R451" s="11"/>
      <c r="S451" s="11"/>
      <c r="T451" s="11"/>
      <c r="U451" s="11"/>
      <c r="V451" s="11"/>
      <c r="W451" s="11"/>
      <c r="X451" s="11"/>
      <c r="Y451" s="11"/>
      <c r="Z451" s="12"/>
      <c r="AA451" s="12"/>
      <c r="AB451" s="12"/>
      <c r="AC451" s="12"/>
      <c r="AD451" s="12"/>
      <c r="AE451" s="12"/>
      <c r="AF451" s="12"/>
    </row>
    <row r="452" ht="46.5" customHeight="1">
      <c r="A452" s="1"/>
      <c r="B452" s="2"/>
      <c r="C452" s="2"/>
      <c r="D452" s="3"/>
      <c r="E452" s="3"/>
      <c r="F452" s="3"/>
      <c r="G452" s="3"/>
      <c r="H452" s="4"/>
      <c r="I452" s="5"/>
      <c r="J452" s="6"/>
      <c r="K452" s="7"/>
      <c r="L452" s="8"/>
      <c r="M452" s="9"/>
      <c r="N452" s="9"/>
      <c r="O452" s="9"/>
      <c r="P452" s="10"/>
      <c r="Q452" s="11"/>
      <c r="R452" s="11"/>
      <c r="S452" s="11"/>
      <c r="T452" s="11"/>
      <c r="U452" s="11"/>
      <c r="V452" s="11"/>
      <c r="W452" s="11"/>
      <c r="X452" s="11"/>
      <c r="Y452" s="11"/>
      <c r="Z452" s="12"/>
      <c r="AA452" s="12"/>
      <c r="AB452" s="12"/>
      <c r="AC452" s="12"/>
      <c r="AD452" s="12"/>
      <c r="AE452" s="12"/>
      <c r="AF452" s="12"/>
    </row>
    <row r="453" ht="46.5" customHeight="1">
      <c r="A453" s="1"/>
      <c r="B453" s="2"/>
      <c r="C453" s="2"/>
      <c r="D453" s="3"/>
      <c r="E453" s="3"/>
      <c r="F453" s="3"/>
      <c r="G453" s="3"/>
      <c r="H453" s="4"/>
      <c r="I453" s="5"/>
      <c r="J453" s="6"/>
      <c r="K453" s="7"/>
      <c r="L453" s="8"/>
      <c r="M453" s="9"/>
      <c r="N453" s="9"/>
      <c r="O453" s="9"/>
      <c r="P453" s="10"/>
      <c r="Q453" s="11"/>
      <c r="R453" s="11"/>
      <c r="S453" s="11"/>
      <c r="T453" s="11"/>
      <c r="U453" s="11"/>
      <c r="V453" s="11"/>
      <c r="W453" s="11"/>
      <c r="X453" s="11"/>
      <c r="Y453" s="11"/>
      <c r="Z453" s="12"/>
      <c r="AA453" s="12"/>
      <c r="AB453" s="12"/>
      <c r="AC453" s="12"/>
      <c r="AD453" s="12"/>
      <c r="AE453" s="12"/>
      <c r="AF453" s="12"/>
    </row>
    <row r="454" ht="46.5" customHeight="1">
      <c r="A454" s="1"/>
      <c r="B454" s="2"/>
      <c r="C454" s="2"/>
      <c r="D454" s="3"/>
      <c r="E454" s="3"/>
      <c r="F454" s="3"/>
      <c r="G454" s="3"/>
      <c r="H454" s="4"/>
      <c r="I454" s="5"/>
      <c r="J454" s="6"/>
      <c r="K454" s="7"/>
      <c r="L454" s="8"/>
      <c r="M454" s="9"/>
      <c r="N454" s="9"/>
      <c r="O454" s="9"/>
      <c r="P454" s="10"/>
      <c r="Q454" s="11"/>
      <c r="R454" s="11"/>
      <c r="S454" s="11"/>
      <c r="T454" s="11"/>
      <c r="U454" s="11"/>
      <c r="V454" s="11"/>
      <c r="W454" s="11"/>
      <c r="X454" s="11"/>
      <c r="Y454" s="11"/>
      <c r="Z454" s="12"/>
      <c r="AA454" s="12"/>
      <c r="AB454" s="12"/>
      <c r="AC454" s="12"/>
      <c r="AD454" s="12"/>
      <c r="AE454" s="12"/>
      <c r="AF454" s="12"/>
    </row>
    <row r="455" ht="46.5" customHeight="1">
      <c r="A455" s="1"/>
      <c r="B455" s="2"/>
      <c r="C455" s="2"/>
      <c r="D455" s="3"/>
      <c r="E455" s="3"/>
      <c r="F455" s="3"/>
      <c r="G455" s="3"/>
      <c r="H455" s="4"/>
      <c r="I455" s="5"/>
      <c r="J455" s="6"/>
      <c r="K455" s="7"/>
      <c r="L455" s="8"/>
      <c r="M455" s="9"/>
      <c r="N455" s="9"/>
      <c r="O455" s="9"/>
      <c r="P455" s="10"/>
      <c r="Q455" s="11"/>
      <c r="R455" s="11"/>
      <c r="S455" s="11"/>
      <c r="T455" s="11"/>
      <c r="U455" s="11"/>
      <c r="V455" s="11"/>
      <c r="W455" s="11"/>
      <c r="X455" s="11"/>
      <c r="Y455" s="11"/>
      <c r="Z455" s="12"/>
      <c r="AA455" s="12"/>
      <c r="AB455" s="12"/>
      <c r="AC455" s="12"/>
      <c r="AD455" s="12"/>
      <c r="AE455" s="12"/>
      <c r="AF455" s="12"/>
    </row>
    <row r="456" ht="46.5" customHeight="1">
      <c r="A456" s="1"/>
      <c r="B456" s="2"/>
      <c r="C456" s="2"/>
      <c r="D456" s="3"/>
      <c r="E456" s="3"/>
      <c r="F456" s="3"/>
      <c r="G456" s="3"/>
      <c r="H456" s="4"/>
      <c r="I456" s="5"/>
      <c r="J456" s="6"/>
      <c r="K456" s="7"/>
      <c r="L456" s="8"/>
      <c r="M456" s="9"/>
      <c r="N456" s="9"/>
      <c r="O456" s="9"/>
      <c r="P456" s="10"/>
      <c r="Q456" s="11"/>
      <c r="R456" s="11"/>
      <c r="S456" s="11"/>
      <c r="T456" s="11"/>
      <c r="U456" s="11"/>
      <c r="V456" s="11"/>
      <c r="W456" s="11"/>
      <c r="X456" s="11"/>
      <c r="Y456" s="11"/>
      <c r="Z456" s="12"/>
      <c r="AA456" s="12"/>
      <c r="AB456" s="12"/>
      <c r="AC456" s="12"/>
      <c r="AD456" s="12"/>
      <c r="AE456" s="12"/>
      <c r="AF456" s="12"/>
    </row>
    <row r="457" ht="46.5" customHeight="1">
      <c r="A457" s="1"/>
      <c r="B457" s="2"/>
      <c r="C457" s="2"/>
      <c r="D457" s="3"/>
      <c r="E457" s="3"/>
      <c r="F457" s="3"/>
      <c r="G457" s="3"/>
      <c r="H457" s="4"/>
      <c r="I457" s="5"/>
      <c r="J457" s="6"/>
      <c r="K457" s="7"/>
      <c r="L457" s="8"/>
      <c r="M457" s="9"/>
      <c r="N457" s="9"/>
      <c r="O457" s="9"/>
      <c r="P457" s="10"/>
      <c r="Q457" s="11"/>
      <c r="R457" s="11"/>
      <c r="S457" s="11"/>
      <c r="T457" s="11"/>
      <c r="U457" s="11"/>
      <c r="V457" s="11"/>
      <c r="W457" s="11"/>
      <c r="X457" s="11"/>
      <c r="Y457" s="11"/>
      <c r="Z457" s="12"/>
      <c r="AA457" s="12"/>
      <c r="AB457" s="12"/>
      <c r="AC457" s="12"/>
      <c r="AD457" s="12"/>
      <c r="AE457" s="12"/>
      <c r="AF457" s="12"/>
    </row>
    <row r="458" ht="46.5" customHeight="1">
      <c r="A458" s="1"/>
      <c r="B458" s="2"/>
      <c r="C458" s="2"/>
      <c r="D458" s="3"/>
      <c r="E458" s="3"/>
      <c r="F458" s="3"/>
      <c r="G458" s="3"/>
      <c r="H458" s="4"/>
      <c r="I458" s="5"/>
      <c r="J458" s="6"/>
      <c r="K458" s="7"/>
      <c r="L458" s="8"/>
      <c r="M458" s="9"/>
      <c r="N458" s="9"/>
      <c r="O458" s="9"/>
      <c r="P458" s="10"/>
      <c r="Q458" s="11"/>
      <c r="R458" s="11"/>
      <c r="S458" s="11"/>
      <c r="T458" s="11"/>
      <c r="U458" s="11"/>
      <c r="V458" s="11"/>
      <c r="W458" s="11"/>
      <c r="X458" s="11"/>
      <c r="Y458" s="11"/>
      <c r="Z458" s="12"/>
      <c r="AA458" s="12"/>
      <c r="AB458" s="12"/>
      <c r="AC458" s="12"/>
      <c r="AD458" s="12"/>
      <c r="AE458" s="12"/>
      <c r="AF458" s="12"/>
    </row>
    <row r="459" ht="46.5" customHeight="1">
      <c r="A459" s="1"/>
      <c r="B459" s="2"/>
      <c r="C459" s="2"/>
      <c r="D459" s="3"/>
      <c r="E459" s="3"/>
      <c r="F459" s="3"/>
      <c r="G459" s="3"/>
      <c r="H459" s="4"/>
      <c r="I459" s="5"/>
      <c r="J459" s="6"/>
      <c r="K459" s="7"/>
      <c r="L459" s="8"/>
      <c r="M459" s="9"/>
      <c r="N459" s="9"/>
      <c r="O459" s="9"/>
      <c r="P459" s="10"/>
      <c r="Q459" s="11"/>
      <c r="R459" s="11"/>
      <c r="S459" s="11"/>
      <c r="T459" s="11"/>
      <c r="U459" s="11"/>
      <c r="V459" s="11"/>
      <c r="W459" s="11"/>
      <c r="X459" s="11"/>
      <c r="Y459" s="11"/>
      <c r="Z459" s="12"/>
      <c r="AA459" s="12"/>
      <c r="AB459" s="12"/>
      <c r="AC459" s="12"/>
      <c r="AD459" s="12"/>
      <c r="AE459" s="12"/>
      <c r="AF459" s="12"/>
    </row>
    <row r="460" ht="46.5" customHeight="1">
      <c r="A460" s="1"/>
      <c r="B460" s="2"/>
      <c r="C460" s="2"/>
      <c r="D460" s="3"/>
      <c r="E460" s="3"/>
      <c r="F460" s="3"/>
      <c r="G460" s="3"/>
      <c r="H460" s="4"/>
      <c r="I460" s="5"/>
      <c r="J460" s="6"/>
      <c r="K460" s="7"/>
      <c r="L460" s="8"/>
      <c r="M460" s="9"/>
      <c r="N460" s="9"/>
      <c r="O460" s="9"/>
      <c r="P460" s="10"/>
      <c r="Q460" s="11"/>
      <c r="R460" s="11"/>
      <c r="S460" s="11"/>
      <c r="T460" s="11"/>
      <c r="U460" s="11"/>
      <c r="V460" s="11"/>
      <c r="W460" s="11"/>
      <c r="X460" s="11"/>
      <c r="Y460" s="11"/>
      <c r="Z460" s="12"/>
      <c r="AA460" s="12"/>
      <c r="AB460" s="12"/>
      <c r="AC460" s="12"/>
      <c r="AD460" s="12"/>
      <c r="AE460" s="12"/>
      <c r="AF460" s="12"/>
    </row>
    <row r="461" ht="46.5" customHeight="1">
      <c r="A461" s="1"/>
      <c r="B461" s="2"/>
      <c r="C461" s="2"/>
      <c r="D461" s="3"/>
      <c r="E461" s="3"/>
      <c r="F461" s="3"/>
      <c r="G461" s="3"/>
      <c r="H461" s="4"/>
      <c r="I461" s="5"/>
      <c r="J461" s="6"/>
      <c r="K461" s="7"/>
      <c r="L461" s="8"/>
      <c r="M461" s="9"/>
      <c r="N461" s="9"/>
      <c r="O461" s="9"/>
      <c r="P461" s="10"/>
      <c r="Q461" s="11"/>
      <c r="R461" s="11"/>
      <c r="S461" s="11"/>
      <c r="T461" s="11"/>
      <c r="U461" s="11"/>
      <c r="V461" s="11"/>
      <c r="W461" s="11"/>
      <c r="X461" s="11"/>
      <c r="Y461" s="11"/>
      <c r="Z461" s="12"/>
      <c r="AA461" s="12"/>
      <c r="AB461" s="12"/>
      <c r="AC461" s="12"/>
      <c r="AD461" s="12"/>
      <c r="AE461" s="12"/>
      <c r="AF461" s="12"/>
    </row>
    <row r="462" ht="46.5" customHeight="1">
      <c r="A462" s="1"/>
      <c r="B462" s="2"/>
      <c r="C462" s="2"/>
      <c r="D462" s="3"/>
      <c r="E462" s="3"/>
      <c r="F462" s="3"/>
      <c r="G462" s="3"/>
      <c r="H462" s="4"/>
      <c r="I462" s="5"/>
      <c r="J462" s="6"/>
      <c r="K462" s="7"/>
      <c r="L462" s="8"/>
      <c r="M462" s="9"/>
      <c r="N462" s="9"/>
      <c r="O462" s="9"/>
      <c r="P462" s="10"/>
      <c r="Q462" s="11"/>
      <c r="R462" s="11"/>
      <c r="S462" s="11"/>
      <c r="T462" s="11"/>
      <c r="U462" s="11"/>
      <c r="V462" s="11"/>
      <c r="W462" s="11"/>
      <c r="X462" s="11"/>
      <c r="Y462" s="11"/>
      <c r="Z462" s="12"/>
      <c r="AA462" s="12"/>
      <c r="AB462" s="12"/>
      <c r="AC462" s="12"/>
      <c r="AD462" s="12"/>
      <c r="AE462" s="12"/>
      <c r="AF462" s="12"/>
    </row>
    <row r="463" ht="46.5" customHeight="1">
      <c r="A463" s="1"/>
      <c r="B463" s="2"/>
      <c r="C463" s="2"/>
      <c r="D463" s="3"/>
      <c r="E463" s="3"/>
      <c r="F463" s="3"/>
      <c r="G463" s="3"/>
      <c r="H463" s="4"/>
      <c r="I463" s="5"/>
      <c r="J463" s="6"/>
      <c r="K463" s="7"/>
      <c r="L463" s="8"/>
      <c r="M463" s="9"/>
      <c r="N463" s="9"/>
      <c r="O463" s="9"/>
      <c r="P463" s="10"/>
      <c r="Q463" s="11"/>
      <c r="R463" s="11"/>
      <c r="S463" s="11"/>
      <c r="T463" s="11"/>
      <c r="U463" s="11"/>
      <c r="V463" s="11"/>
      <c r="W463" s="11"/>
      <c r="X463" s="11"/>
      <c r="Y463" s="11"/>
      <c r="Z463" s="12"/>
      <c r="AA463" s="12"/>
      <c r="AB463" s="12"/>
      <c r="AC463" s="12"/>
      <c r="AD463" s="12"/>
      <c r="AE463" s="12"/>
      <c r="AF463" s="12"/>
    </row>
    <row r="464" ht="46.5" customHeight="1">
      <c r="A464" s="1"/>
      <c r="B464" s="2"/>
      <c r="C464" s="2"/>
      <c r="D464" s="3"/>
      <c r="E464" s="3"/>
      <c r="F464" s="3"/>
      <c r="G464" s="3"/>
      <c r="H464" s="4"/>
      <c r="I464" s="5"/>
      <c r="J464" s="6"/>
      <c r="K464" s="7"/>
      <c r="L464" s="8"/>
      <c r="M464" s="9"/>
      <c r="N464" s="9"/>
      <c r="O464" s="9"/>
      <c r="P464" s="10"/>
      <c r="Q464" s="11"/>
      <c r="R464" s="11"/>
      <c r="S464" s="11"/>
      <c r="T464" s="11"/>
      <c r="U464" s="11"/>
      <c r="V464" s="11"/>
      <c r="W464" s="11"/>
      <c r="X464" s="11"/>
      <c r="Y464" s="11"/>
      <c r="Z464" s="12"/>
      <c r="AA464" s="12"/>
      <c r="AB464" s="12"/>
      <c r="AC464" s="12"/>
      <c r="AD464" s="12"/>
      <c r="AE464" s="12"/>
      <c r="AF464" s="12"/>
    </row>
    <row r="465" ht="46.5" customHeight="1">
      <c r="A465" s="1"/>
      <c r="B465" s="2"/>
      <c r="C465" s="2"/>
      <c r="D465" s="3"/>
      <c r="E465" s="3"/>
      <c r="F465" s="3"/>
      <c r="G465" s="3"/>
      <c r="H465" s="4"/>
      <c r="I465" s="5"/>
      <c r="J465" s="6"/>
      <c r="K465" s="7"/>
      <c r="L465" s="8"/>
      <c r="M465" s="9"/>
      <c r="N465" s="9"/>
      <c r="O465" s="9"/>
      <c r="P465" s="10"/>
      <c r="Q465" s="11"/>
      <c r="R465" s="11"/>
      <c r="S465" s="11"/>
      <c r="T465" s="11"/>
      <c r="U465" s="11"/>
      <c r="V465" s="11"/>
      <c r="W465" s="11"/>
      <c r="X465" s="11"/>
      <c r="Y465" s="11"/>
      <c r="Z465" s="12"/>
      <c r="AA465" s="12"/>
      <c r="AB465" s="12"/>
      <c r="AC465" s="12"/>
      <c r="AD465" s="12"/>
      <c r="AE465" s="12"/>
      <c r="AF465" s="12"/>
    </row>
    <row r="466" ht="46.5" customHeight="1">
      <c r="A466" s="1"/>
      <c r="B466" s="2"/>
      <c r="C466" s="2"/>
      <c r="D466" s="3"/>
      <c r="E466" s="3"/>
      <c r="F466" s="3"/>
      <c r="G466" s="3"/>
      <c r="H466" s="4"/>
      <c r="I466" s="5"/>
      <c r="J466" s="6"/>
      <c r="K466" s="7"/>
      <c r="L466" s="8"/>
      <c r="M466" s="9"/>
      <c r="N466" s="9"/>
      <c r="O466" s="9"/>
      <c r="P466" s="10"/>
      <c r="Q466" s="11"/>
      <c r="R466" s="11"/>
      <c r="S466" s="11"/>
      <c r="T466" s="11"/>
      <c r="U466" s="11"/>
      <c r="V466" s="11"/>
      <c r="W466" s="11"/>
      <c r="X466" s="11"/>
      <c r="Y466" s="11"/>
      <c r="Z466" s="12"/>
      <c r="AA466" s="12"/>
      <c r="AB466" s="12"/>
      <c r="AC466" s="12"/>
      <c r="AD466" s="12"/>
      <c r="AE466" s="12"/>
      <c r="AF466" s="12"/>
    </row>
    <row r="467" ht="46.5" customHeight="1">
      <c r="A467" s="1"/>
      <c r="B467" s="2"/>
      <c r="C467" s="2"/>
      <c r="D467" s="3"/>
      <c r="E467" s="3"/>
      <c r="F467" s="3"/>
      <c r="G467" s="3"/>
      <c r="H467" s="4"/>
      <c r="I467" s="5"/>
      <c r="J467" s="6"/>
      <c r="K467" s="7"/>
      <c r="L467" s="8"/>
      <c r="M467" s="9"/>
      <c r="N467" s="9"/>
      <c r="O467" s="9"/>
      <c r="P467" s="10"/>
      <c r="Q467" s="11"/>
      <c r="R467" s="11"/>
      <c r="S467" s="11"/>
      <c r="T467" s="11"/>
      <c r="U467" s="11"/>
      <c r="V467" s="11"/>
      <c r="W467" s="11"/>
      <c r="X467" s="11"/>
      <c r="Y467" s="11"/>
      <c r="Z467" s="12"/>
      <c r="AA467" s="12"/>
      <c r="AB467" s="12"/>
      <c r="AC467" s="12"/>
      <c r="AD467" s="12"/>
      <c r="AE467" s="12"/>
      <c r="AF467" s="12"/>
    </row>
    <row r="468" ht="46.5" customHeight="1">
      <c r="A468" s="1"/>
      <c r="B468" s="2"/>
      <c r="C468" s="2"/>
      <c r="D468" s="3"/>
      <c r="E468" s="3"/>
      <c r="F468" s="3"/>
      <c r="G468" s="3"/>
      <c r="H468" s="4"/>
      <c r="I468" s="5"/>
      <c r="J468" s="6"/>
      <c r="K468" s="7"/>
      <c r="L468" s="8"/>
      <c r="M468" s="9"/>
      <c r="N468" s="9"/>
      <c r="O468" s="9"/>
      <c r="P468" s="10"/>
      <c r="Q468" s="11"/>
      <c r="R468" s="11"/>
      <c r="S468" s="11"/>
      <c r="T468" s="11"/>
      <c r="U468" s="11"/>
      <c r="V468" s="11"/>
      <c r="W468" s="11"/>
      <c r="X468" s="11"/>
      <c r="Y468" s="11"/>
      <c r="Z468" s="12"/>
      <c r="AA468" s="12"/>
      <c r="AB468" s="12"/>
      <c r="AC468" s="12"/>
      <c r="AD468" s="12"/>
      <c r="AE468" s="12"/>
      <c r="AF468" s="12"/>
    </row>
    <row r="469" ht="46.5" customHeight="1">
      <c r="A469" s="1"/>
      <c r="B469" s="2"/>
      <c r="C469" s="2"/>
      <c r="D469" s="3"/>
      <c r="E469" s="3"/>
      <c r="F469" s="3"/>
      <c r="G469" s="3"/>
      <c r="H469" s="4"/>
      <c r="I469" s="5"/>
      <c r="J469" s="6"/>
      <c r="K469" s="7"/>
      <c r="L469" s="8"/>
      <c r="M469" s="9"/>
      <c r="N469" s="9"/>
      <c r="O469" s="9"/>
      <c r="P469" s="10"/>
      <c r="Q469" s="11"/>
      <c r="R469" s="11"/>
      <c r="S469" s="11"/>
      <c r="T469" s="11"/>
      <c r="U469" s="11"/>
      <c r="V469" s="11"/>
      <c r="W469" s="11"/>
      <c r="X469" s="11"/>
      <c r="Y469" s="11"/>
      <c r="Z469" s="12"/>
      <c r="AA469" s="12"/>
      <c r="AB469" s="12"/>
      <c r="AC469" s="12"/>
      <c r="AD469" s="12"/>
      <c r="AE469" s="12"/>
      <c r="AF469" s="12"/>
    </row>
    <row r="470" ht="46.5" customHeight="1">
      <c r="A470" s="1"/>
      <c r="B470" s="2"/>
      <c r="C470" s="2"/>
      <c r="D470" s="3"/>
      <c r="E470" s="3"/>
      <c r="F470" s="3"/>
      <c r="G470" s="3"/>
      <c r="H470" s="4"/>
      <c r="I470" s="5"/>
      <c r="J470" s="6"/>
      <c r="K470" s="7"/>
      <c r="L470" s="8"/>
      <c r="M470" s="9"/>
      <c r="N470" s="9"/>
      <c r="O470" s="9"/>
      <c r="P470" s="10"/>
      <c r="Q470" s="11"/>
      <c r="R470" s="11"/>
      <c r="S470" s="11"/>
      <c r="T470" s="11"/>
      <c r="U470" s="11"/>
      <c r="V470" s="11"/>
      <c r="W470" s="11"/>
      <c r="X470" s="11"/>
      <c r="Y470" s="11"/>
      <c r="Z470" s="12"/>
      <c r="AA470" s="12"/>
      <c r="AB470" s="12"/>
      <c r="AC470" s="12"/>
      <c r="AD470" s="12"/>
      <c r="AE470" s="12"/>
      <c r="AF470" s="12"/>
    </row>
    <row r="471" ht="46.5" customHeight="1">
      <c r="A471" s="1"/>
      <c r="B471" s="2"/>
      <c r="C471" s="2"/>
      <c r="D471" s="3"/>
      <c r="E471" s="3"/>
      <c r="F471" s="3"/>
      <c r="G471" s="3"/>
      <c r="H471" s="4"/>
      <c r="I471" s="5"/>
      <c r="J471" s="6"/>
      <c r="K471" s="7"/>
      <c r="L471" s="8"/>
      <c r="M471" s="9"/>
      <c r="N471" s="9"/>
      <c r="O471" s="9"/>
      <c r="P471" s="10"/>
      <c r="Q471" s="11"/>
      <c r="R471" s="11"/>
      <c r="S471" s="11"/>
      <c r="T471" s="11"/>
      <c r="U471" s="11"/>
      <c r="V471" s="11"/>
      <c r="W471" s="11"/>
      <c r="X471" s="11"/>
      <c r="Y471" s="11"/>
      <c r="Z471" s="12"/>
      <c r="AA471" s="12"/>
      <c r="AB471" s="12"/>
      <c r="AC471" s="12"/>
      <c r="AD471" s="12"/>
      <c r="AE471" s="12"/>
      <c r="AF471" s="12"/>
    </row>
    <row r="472" ht="46.5" customHeight="1">
      <c r="A472" s="1"/>
      <c r="B472" s="2"/>
      <c r="C472" s="2"/>
      <c r="D472" s="3"/>
      <c r="E472" s="3"/>
      <c r="F472" s="3"/>
      <c r="G472" s="3"/>
      <c r="H472" s="4"/>
      <c r="I472" s="5"/>
      <c r="J472" s="6"/>
      <c r="K472" s="7"/>
      <c r="L472" s="8"/>
      <c r="M472" s="9"/>
      <c r="N472" s="9"/>
      <c r="O472" s="9"/>
      <c r="P472" s="10"/>
      <c r="Q472" s="11"/>
      <c r="R472" s="11"/>
      <c r="S472" s="11"/>
      <c r="T472" s="11"/>
      <c r="U472" s="11"/>
      <c r="V472" s="11"/>
      <c r="W472" s="11"/>
      <c r="X472" s="11"/>
      <c r="Y472" s="11"/>
      <c r="Z472" s="12"/>
      <c r="AA472" s="12"/>
      <c r="AB472" s="12"/>
      <c r="AC472" s="12"/>
      <c r="AD472" s="12"/>
      <c r="AE472" s="12"/>
      <c r="AF472" s="12"/>
    </row>
    <row r="473" ht="46.5" customHeight="1">
      <c r="A473" s="1"/>
      <c r="B473" s="2"/>
      <c r="C473" s="2"/>
      <c r="D473" s="3"/>
      <c r="E473" s="3"/>
      <c r="F473" s="3"/>
      <c r="G473" s="3"/>
      <c r="H473" s="4"/>
      <c r="I473" s="5"/>
      <c r="J473" s="6"/>
      <c r="K473" s="7"/>
      <c r="L473" s="8"/>
      <c r="M473" s="9"/>
      <c r="N473" s="9"/>
      <c r="O473" s="9"/>
      <c r="P473" s="10"/>
      <c r="Q473" s="11"/>
      <c r="R473" s="11"/>
      <c r="S473" s="11"/>
      <c r="T473" s="11"/>
      <c r="U473" s="11"/>
      <c r="V473" s="11"/>
      <c r="W473" s="11"/>
      <c r="X473" s="11"/>
      <c r="Y473" s="11"/>
      <c r="Z473" s="12"/>
      <c r="AA473" s="12"/>
      <c r="AB473" s="12"/>
      <c r="AC473" s="12"/>
      <c r="AD473" s="12"/>
      <c r="AE473" s="12"/>
      <c r="AF473" s="12"/>
    </row>
    <row r="474" ht="46.5" customHeight="1">
      <c r="A474" s="1"/>
      <c r="B474" s="2"/>
      <c r="C474" s="2"/>
      <c r="D474" s="3"/>
      <c r="E474" s="3"/>
      <c r="F474" s="3"/>
      <c r="G474" s="3"/>
      <c r="H474" s="4"/>
      <c r="I474" s="5"/>
      <c r="J474" s="6"/>
      <c r="K474" s="7"/>
      <c r="L474" s="8"/>
      <c r="M474" s="9"/>
      <c r="N474" s="9"/>
      <c r="O474" s="9"/>
      <c r="P474" s="10"/>
      <c r="Q474" s="11"/>
      <c r="R474" s="11"/>
      <c r="S474" s="11"/>
      <c r="T474" s="11"/>
      <c r="U474" s="11"/>
      <c r="V474" s="11"/>
      <c r="W474" s="11"/>
      <c r="X474" s="11"/>
      <c r="Y474" s="11"/>
      <c r="Z474" s="12"/>
      <c r="AA474" s="12"/>
      <c r="AB474" s="12"/>
      <c r="AC474" s="12"/>
      <c r="AD474" s="12"/>
      <c r="AE474" s="12"/>
      <c r="AF474" s="12"/>
    </row>
    <row r="475" ht="46.5" customHeight="1">
      <c r="A475" s="1"/>
      <c r="B475" s="2"/>
      <c r="C475" s="2"/>
      <c r="D475" s="3"/>
      <c r="E475" s="3"/>
      <c r="F475" s="3"/>
      <c r="G475" s="3"/>
      <c r="H475" s="4"/>
      <c r="I475" s="5"/>
      <c r="J475" s="6"/>
      <c r="K475" s="7"/>
      <c r="L475" s="8"/>
      <c r="M475" s="9"/>
      <c r="N475" s="9"/>
      <c r="O475" s="9"/>
      <c r="P475" s="10"/>
      <c r="Q475" s="11"/>
      <c r="R475" s="11"/>
      <c r="S475" s="11"/>
      <c r="T475" s="11"/>
      <c r="U475" s="11"/>
      <c r="V475" s="11"/>
      <c r="W475" s="11"/>
      <c r="X475" s="11"/>
      <c r="Y475" s="11"/>
      <c r="Z475" s="12"/>
      <c r="AA475" s="12"/>
      <c r="AB475" s="12"/>
      <c r="AC475" s="12"/>
      <c r="AD475" s="12"/>
      <c r="AE475" s="12"/>
      <c r="AF475" s="12"/>
    </row>
    <row r="476" ht="46.5" customHeight="1">
      <c r="A476" s="1"/>
      <c r="B476" s="2"/>
      <c r="C476" s="2"/>
      <c r="D476" s="3"/>
      <c r="E476" s="3"/>
      <c r="F476" s="3"/>
      <c r="G476" s="3"/>
      <c r="H476" s="4"/>
      <c r="I476" s="5"/>
      <c r="J476" s="6"/>
      <c r="K476" s="7"/>
      <c r="L476" s="8"/>
      <c r="M476" s="9"/>
      <c r="N476" s="9"/>
      <c r="O476" s="9"/>
      <c r="P476" s="10"/>
      <c r="Q476" s="11"/>
      <c r="R476" s="11"/>
      <c r="S476" s="11"/>
      <c r="T476" s="11"/>
      <c r="U476" s="11"/>
      <c r="V476" s="11"/>
      <c r="W476" s="11"/>
      <c r="X476" s="11"/>
      <c r="Y476" s="11"/>
      <c r="Z476" s="12"/>
      <c r="AA476" s="12"/>
      <c r="AB476" s="12"/>
      <c r="AC476" s="12"/>
      <c r="AD476" s="12"/>
      <c r="AE476" s="12"/>
      <c r="AF476" s="12"/>
    </row>
    <row r="477" ht="46.5" customHeight="1">
      <c r="A477" s="1"/>
      <c r="B477" s="2"/>
      <c r="C477" s="2"/>
      <c r="D477" s="3"/>
      <c r="E477" s="3"/>
      <c r="F477" s="3"/>
      <c r="G477" s="3"/>
      <c r="H477" s="4"/>
      <c r="I477" s="5"/>
      <c r="J477" s="6"/>
      <c r="K477" s="7"/>
      <c r="L477" s="8"/>
      <c r="M477" s="9"/>
      <c r="N477" s="9"/>
      <c r="O477" s="9"/>
      <c r="P477" s="10"/>
      <c r="Q477" s="11"/>
      <c r="R477" s="11"/>
      <c r="S477" s="11"/>
      <c r="T477" s="11"/>
      <c r="U477" s="11"/>
      <c r="V477" s="11"/>
      <c r="W477" s="11"/>
      <c r="X477" s="11"/>
      <c r="Y477" s="11"/>
      <c r="Z477" s="12"/>
      <c r="AA477" s="12"/>
      <c r="AB477" s="12"/>
      <c r="AC477" s="12"/>
      <c r="AD477" s="12"/>
      <c r="AE477" s="12"/>
      <c r="AF477" s="12"/>
    </row>
    <row r="478" ht="46.5" customHeight="1">
      <c r="A478" s="1"/>
      <c r="B478" s="2"/>
      <c r="C478" s="2"/>
      <c r="D478" s="3"/>
      <c r="E478" s="3"/>
      <c r="F478" s="3"/>
      <c r="G478" s="3"/>
      <c r="H478" s="4"/>
      <c r="I478" s="5"/>
      <c r="J478" s="6"/>
      <c r="K478" s="7"/>
      <c r="L478" s="8"/>
      <c r="M478" s="9"/>
      <c r="N478" s="9"/>
      <c r="O478" s="9"/>
      <c r="P478" s="10"/>
      <c r="Q478" s="11"/>
      <c r="R478" s="11"/>
      <c r="S478" s="11"/>
      <c r="T478" s="11"/>
      <c r="U478" s="11"/>
      <c r="V478" s="11"/>
      <c r="W478" s="11"/>
      <c r="X478" s="11"/>
      <c r="Y478" s="11"/>
      <c r="Z478" s="12"/>
      <c r="AA478" s="12"/>
      <c r="AB478" s="12"/>
      <c r="AC478" s="12"/>
      <c r="AD478" s="12"/>
      <c r="AE478" s="12"/>
      <c r="AF478" s="12"/>
    </row>
    <row r="479" ht="46.5" customHeight="1">
      <c r="A479" s="1"/>
      <c r="B479" s="2"/>
      <c r="C479" s="2"/>
      <c r="D479" s="3"/>
      <c r="E479" s="3"/>
      <c r="F479" s="3"/>
      <c r="G479" s="3"/>
      <c r="H479" s="4"/>
      <c r="I479" s="5"/>
      <c r="J479" s="6"/>
      <c r="K479" s="7"/>
      <c r="L479" s="8"/>
      <c r="M479" s="9"/>
      <c r="N479" s="9"/>
      <c r="O479" s="9"/>
      <c r="P479" s="10"/>
      <c r="Q479" s="11"/>
      <c r="R479" s="11"/>
      <c r="S479" s="11"/>
      <c r="T479" s="11"/>
      <c r="U479" s="11"/>
      <c r="V479" s="11"/>
      <c r="W479" s="11"/>
      <c r="X479" s="11"/>
      <c r="Y479" s="11"/>
      <c r="Z479" s="12"/>
      <c r="AA479" s="12"/>
      <c r="AB479" s="12"/>
      <c r="AC479" s="12"/>
      <c r="AD479" s="12"/>
      <c r="AE479" s="12"/>
      <c r="AF479" s="12"/>
    </row>
    <row r="480" ht="46.5" customHeight="1">
      <c r="A480" s="1"/>
      <c r="B480" s="2"/>
      <c r="C480" s="2"/>
      <c r="D480" s="3"/>
      <c r="E480" s="3"/>
      <c r="F480" s="3"/>
      <c r="G480" s="3"/>
      <c r="H480" s="4"/>
      <c r="I480" s="5"/>
      <c r="J480" s="6"/>
      <c r="K480" s="7"/>
      <c r="L480" s="8"/>
      <c r="M480" s="9"/>
      <c r="N480" s="9"/>
      <c r="O480" s="9"/>
      <c r="P480" s="10"/>
      <c r="Q480" s="11"/>
      <c r="R480" s="11"/>
      <c r="S480" s="11"/>
      <c r="T480" s="11"/>
      <c r="U480" s="11"/>
      <c r="V480" s="11"/>
      <c r="W480" s="11"/>
      <c r="X480" s="11"/>
      <c r="Y480" s="11"/>
      <c r="Z480" s="12"/>
      <c r="AA480" s="12"/>
      <c r="AB480" s="12"/>
      <c r="AC480" s="12"/>
      <c r="AD480" s="12"/>
      <c r="AE480" s="12"/>
      <c r="AF480" s="12"/>
    </row>
    <row r="481" ht="46.5" customHeight="1">
      <c r="A481" s="1"/>
      <c r="B481" s="2"/>
      <c r="C481" s="2"/>
      <c r="D481" s="3"/>
      <c r="E481" s="3"/>
      <c r="F481" s="3"/>
      <c r="G481" s="3"/>
      <c r="H481" s="4"/>
      <c r="I481" s="5"/>
      <c r="J481" s="6"/>
      <c r="K481" s="7"/>
      <c r="L481" s="8"/>
      <c r="M481" s="9"/>
      <c r="N481" s="9"/>
      <c r="O481" s="9"/>
      <c r="P481" s="10"/>
      <c r="Q481" s="11"/>
      <c r="R481" s="11"/>
      <c r="S481" s="11"/>
      <c r="T481" s="11"/>
      <c r="U481" s="11"/>
      <c r="V481" s="11"/>
      <c r="W481" s="11"/>
      <c r="X481" s="11"/>
      <c r="Y481" s="11"/>
      <c r="Z481" s="12"/>
      <c r="AA481" s="12"/>
      <c r="AB481" s="12"/>
      <c r="AC481" s="12"/>
      <c r="AD481" s="12"/>
      <c r="AE481" s="12"/>
      <c r="AF481" s="12"/>
    </row>
    <row r="482" ht="46.5" customHeight="1">
      <c r="A482" s="1"/>
      <c r="B482" s="2"/>
      <c r="C482" s="2"/>
      <c r="D482" s="3"/>
      <c r="E482" s="3"/>
      <c r="F482" s="3"/>
      <c r="G482" s="3"/>
      <c r="H482" s="4"/>
      <c r="I482" s="5"/>
      <c r="J482" s="6"/>
      <c r="K482" s="7"/>
      <c r="L482" s="8"/>
      <c r="M482" s="9"/>
      <c r="N482" s="9"/>
      <c r="O482" s="9"/>
      <c r="P482" s="10"/>
      <c r="Q482" s="11"/>
      <c r="R482" s="11"/>
      <c r="S482" s="11"/>
      <c r="T482" s="11"/>
      <c r="U482" s="11"/>
      <c r="V482" s="11"/>
      <c r="W482" s="11"/>
      <c r="X482" s="11"/>
      <c r="Y482" s="11"/>
      <c r="Z482" s="12"/>
      <c r="AA482" s="12"/>
      <c r="AB482" s="12"/>
      <c r="AC482" s="12"/>
      <c r="AD482" s="12"/>
      <c r="AE482" s="12"/>
      <c r="AF482" s="12"/>
    </row>
    <row r="483" ht="46.5" customHeight="1">
      <c r="A483" s="1"/>
      <c r="B483" s="2"/>
      <c r="C483" s="2"/>
      <c r="D483" s="3"/>
      <c r="E483" s="3"/>
      <c r="F483" s="3"/>
      <c r="G483" s="3"/>
      <c r="H483" s="4"/>
      <c r="I483" s="5"/>
      <c r="J483" s="6"/>
      <c r="K483" s="7"/>
      <c r="L483" s="8"/>
      <c r="M483" s="9"/>
      <c r="N483" s="9"/>
      <c r="O483" s="9"/>
      <c r="P483" s="10"/>
      <c r="Q483" s="11"/>
      <c r="R483" s="11"/>
      <c r="S483" s="11"/>
      <c r="T483" s="11"/>
      <c r="U483" s="11"/>
      <c r="V483" s="11"/>
      <c r="W483" s="11"/>
      <c r="X483" s="11"/>
      <c r="Y483" s="11"/>
      <c r="Z483" s="12"/>
      <c r="AA483" s="12"/>
      <c r="AB483" s="12"/>
      <c r="AC483" s="12"/>
      <c r="AD483" s="12"/>
      <c r="AE483" s="12"/>
      <c r="AF483" s="12"/>
    </row>
    <row r="484" ht="46.5" customHeight="1">
      <c r="A484" s="1"/>
      <c r="B484" s="2"/>
      <c r="C484" s="2"/>
      <c r="D484" s="3"/>
      <c r="E484" s="3"/>
      <c r="F484" s="3"/>
      <c r="G484" s="3"/>
      <c r="H484" s="4"/>
      <c r="I484" s="5"/>
      <c r="J484" s="6"/>
      <c r="K484" s="7"/>
      <c r="L484" s="8"/>
      <c r="M484" s="9"/>
      <c r="N484" s="9"/>
      <c r="O484" s="9"/>
      <c r="P484" s="10"/>
      <c r="Q484" s="11"/>
      <c r="R484" s="11"/>
      <c r="S484" s="11"/>
      <c r="T484" s="11"/>
      <c r="U484" s="11"/>
      <c r="V484" s="11"/>
      <c r="W484" s="11"/>
      <c r="X484" s="11"/>
      <c r="Y484" s="11"/>
      <c r="Z484" s="12"/>
      <c r="AA484" s="12"/>
      <c r="AB484" s="12"/>
      <c r="AC484" s="12"/>
      <c r="AD484" s="12"/>
      <c r="AE484" s="12"/>
      <c r="AF484" s="12"/>
    </row>
    <row r="485" ht="46.5" customHeight="1">
      <c r="A485" s="1"/>
      <c r="B485" s="2"/>
      <c r="C485" s="2"/>
      <c r="D485" s="3"/>
      <c r="E485" s="3"/>
      <c r="F485" s="3"/>
      <c r="G485" s="3"/>
      <c r="H485" s="4"/>
      <c r="I485" s="5"/>
      <c r="J485" s="6"/>
      <c r="K485" s="7"/>
      <c r="L485" s="8"/>
      <c r="M485" s="9"/>
      <c r="N485" s="9"/>
      <c r="O485" s="9"/>
      <c r="P485" s="10"/>
      <c r="Q485" s="11"/>
      <c r="R485" s="11"/>
      <c r="S485" s="11"/>
      <c r="T485" s="11"/>
      <c r="U485" s="11"/>
      <c r="V485" s="11"/>
      <c r="W485" s="11"/>
      <c r="X485" s="11"/>
      <c r="Y485" s="11"/>
      <c r="Z485" s="12"/>
      <c r="AA485" s="12"/>
      <c r="AB485" s="12"/>
      <c r="AC485" s="12"/>
      <c r="AD485" s="12"/>
      <c r="AE485" s="12"/>
      <c r="AF485" s="12"/>
    </row>
    <row r="486" ht="46.5" customHeight="1">
      <c r="A486" s="1"/>
      <c r="B486" s="2"/>
      <c r="C486" s="2"/>
      <c r="D486" s="3"/>
      <c r="E486" s="3"/>
      <c r="F486" s="3"/>
      <c r="G486" s="3"/>
      <c r="H486" s="4"/>
      <c r="I486" s="5"/>
      <c r="J486" s="6"/>
      <c r="K486" s="7"/>
      <c r="L486" s="8"/>
      <c r="M486" s="9"/>
      <c r="N486" s="9"/>
      <c r="O486" s="9"/>
      <c r="P486" s="10"/>
      <c r="Q486" s="11"/>
      <c r="R486" s="11"/>
      <c r="S486" s="11"/>
      <c r="T486" s="11"/>
      <c r="U486" s="11"/>
      <c r="V486" s="11"/>
      <c r="W486" s="11"/>
      <c r="X486" s="11"/>
      <c r="Y486" s="11"/>
      <c r="Z486" s="12"/>
      <c r="AA486" s="12"/>
      <c r="AB486" s="12"/>
      <c r="AC486" s="12"/>
      <c r="AD486" s="12"/>
      <c r="AE486" s="12"/>
      <c r="AF486" s="12"/>
    </row>
    <row r="487" ht="46.5" customHeight="1">
      <c r="A487" s="1"/>
      <c r="B487" s="2"/>
      <c r="C487" s="2"/>
      <c r="D487" s="3"/>
      <c r="E487" s="3"/>
      <c r="F487" s="3"/>
      <c r="G487" s="3"/>
      <c r="H487" s="4"/>
      <c r="I487" s="5"/>
      <c r="J487" s="6"/>
      <c r="K487" s="7"/>
      <c r="L487" s="8"/>
      <c r="M487" s="9"/>
      <c r="N487" s="9"/>
      <c r="O487" s="9"/>
      <c r="P487" s="10"/>
      <c r="Q487" s="11"/>
      <c r="R487" s="11"/>
      <c r="S487" s="11"/>
      <c r="T487" s="11"/>
      <c r="U487" s="11"/>
      <c r="V487" s="11"/>
      <c r="W487" s="11"/>
      <c r="X487" s="11"/>
      <c r="Y487" s="11"/>
      <c r="Z487" s="12"/>
      <c r="AA487" s="12"/>
      <c r="AB487" s="12"/>
      <c r="AC487" s="12"/>
      <c r="AD487" s="12"/>
      <c r="AE487" s="12"/>
      <c r="AF487" s="12"/>
    </row>
    <row r="488" ht="46.5" customHeight="1">
      <c r="A488" s="1"/>
      <c r="B488" s="2"/>
      <c r="C488" s="2"/>
      <c r="D488" s="3"/>
      <c r="E488" s="3"/>
      <c r="F488" s="3"/>
      <c r="G488" s="3"/>
      <c r="H488" s="4"/>
      <c r="I488" s="5"/>
      <c r="J488" s="6"/>
      <c r="K488" s="7"/>
      <c r="L488" s="8"/>
      <c r="M488" s="9"/>
      <c r="N488" s="9"/>
      <c r="O488" s="9"/>
      <c r="P488" s="10"/>
      <c r="Q488" s="11"/>
      <c r="R488" s="11"/>
      <c r="S488" s="11"/>
      <c r="T488" s="11"/>
      <c r="U488" s="11"/>
      <c r="V488" s="11"/>
      <c r="W488" s="11"/>
      <c r="X488" s="11"/>
      <c r="Y488" s="11"/>
      <c r="Z488" s="12"/>
      <c r="AA488" s="12"/>
      <c r="AB488" s="12"/>
      <c r="AC488" s="12"/>
      <c r="AD488" s="12"/>
      <c r="AE488" s="12"/>
      <c r="AF488" s="12"/>
    </row>
    <row r="489" ht="46.5" customHeight="1">
      <c r="A489" s="1"/>
      <c r="B489" s="2"/>
      <c r="C489" s="2"/>
      <c r="D489" s="3"/>
      <c r="E489" s="3"/>
      <c r="F489" s="3"/>
      <c r="G489" s="3"/>
      <c r="H489" s="4"/>
      <c r="I489" s="5"/>
      <c r="J489" s="6"/>
      <c r="K489" s="7"/>
      <c r="L489" s="8"/>
      <c r="M489" s="9"/>
      <c r="N489" s="9"/>
      <c r="O489" s="9"/>
      <c r="P489" s="10"/>
      <c r="Q489" s="11"/>
      <c r="R489" s="11"/>
      <c r="S489" s="11"/>
      <c r="T489" s="11"/>
      <c r="U489" s="11"/>
      <c r="V489" s="11"/>
      <c r="W489" s="11"/>
      <c r="X489" s="11"/>
      <c r="Y489" s="11"/>
      <c r="Z489" s="12"/>
      <c r="AA489" s="12"/>
      <c r="AB489" s="12"/>
      <c r="AC489" s="12"/>
      <c r="AD489" s="12"/>
      <c r="AE489" s="12"/>
      <c r="AF489" s="12"/>
    </row>
    <row r="490" ht="46.5" customHeight="1">
      <c r="A490" s="1"/>
      <c r="B490" s="2"/>
      <c r="C490" s="2"/>
      <c r="D490" s="3"/>
      <c r="E490" s="3"/>
      <c r="F490" s="3"/>
      <c r="G490" s="3"/>
      <c r="H490" s="4"/>
      <c r="I490" s="5"/>
      <c r="J490" s="6"/>
      <c r="K490" s="7"/>
      <c r="L490" s="8"/>
      <c r="M490" s="9"/>
      <c r="N490" s="9"/>
      <c r="O490" s="9"/>
      <c r="P490" s="10"/>
      <c r="Q490" s="11"/>
      <c r="R490" s="11"/>
      <c r="S490" s="11"/>
      <c r="T490" s="11"/>
      <c r="U490" s="11"/>
      <c r="V490" s="11"/>
      <c r="W490" s="11"/>
      <c r="X490" s="11"/>
      <c r="Y490" s="11"/>
      <c r="Z490" s="12"/>
      <c r="AA490" s="12"/>
      <c r="AB490" s="12"/>
      <c r="AC490" s="12"/>
      <c r="AD490" s="12"/>
      <c r="AE490" s="12"/>
      <c r="AF490" s="12"/>
    </row>
    <row r="491" ht="46.5" customHeight="1">
      <c r="A491" s="1"/>
      <c r="B491" s="2"/>
      <c r="C491" s="2"/>
      <c r="D491" s="3"/>
      <c r="E491" s="3"/>
      <c r="F491" s="3"/>
      <c r="G491" s="3"/>
      <c r="H491" s="4"/>
      <c r="I491" s="5"/>
      <c r="J491" s="6"/>
      <c r="K491" s="7"/>
      <c r="L491" s="8"/>
      <c r="M491" s="9"/>
      <c r="N491" s="9"/>
      <c r="O491" s="9"/>
      <c r="P491" s="10"/>
      <c r="Q491" s="11"/>
      <c r="R491" s="11"/>
      <c r="S491" s="11"/>
      <c r="T491" s="11"/>
      <c r="U491" s="11"/>
      <c r="V491" s="11"/>
      <c r="W491" s="11"/>
      <c r="X491" s="11"/>
      <c r="Y491" s="11"/>
      <c r="Z491" s="12"/>
      <c r="AA491" s="12"/>
      <c r="AB491" s="12"/>
      <c r="AC491" s="12"/>
      <c r="AD491" s="12"/>
      <c r="AE491" s="12"/>
      <c r="AF491" s="12"/>
    </row>
    <row r="492" ht="46.5" customHeight="1">
      <c r="A492" s="1"/>
      <c r="B492" s="2"/>
      <c r="C492" s="2"/>
      <c r="D492" s="3"/>
      <c r="E492" s="3"/>
      <c r="F492" s="3"/>
      <c r="G492" s="3"/>
      <c r="H492" s="4"/>
      <c r="I492" s="5"/>
      <c r="J492" s="6"/>
      <c r="K492" s="7"/>
      <c r="L492" s="8"/>
      <c r="M492" s="9"/>
      <c r="N492" s="9"/>
      <c r="O492" s="9"/>
      <c r="P492" s="10"/>
      <c r="Q492" s="11"/>
      <c r="R492" s="11"/>
      <c r="S492" s="11"/>
      <c r="T492" s="11"/>
      <c r="U492" s="11"/>
      <c r="V492" s="11"/>
      <c r="W492" s="11"/>
      <c r="X492" s="11"/>
      <c r="Y492" s="11"/>
      <c r="Z492" s="12"/>
      <c r="AA492" s="12"/>
      <c r="AB492" s="12"/>
      <c r="AC492" s="12"/>
      <c r="AD492" s="12"/>
      <c r="AE492" s="12"/>
      <c r="AF492" s="12"/>
    </row>
    <row r="493" ht="46.5" customHeight="1">
      <c r="A493" s="1"/>
      <c r="B493" s="2"/>
      <c r="C493" s="2"/>
      <c r="D493" s="3"/>
      <c r="E493" s="3"/>
      <c r="F493" s="3"/>
      <c r="G493" s="3"/>
      <c r="H493" s="4"/>
      <c r="I493" s="5"/>
      <c r="J493" s="6"/>
      <c r="K493" s="7"/>
      <c r="L493" s="8"/>
      <c r="M493" s="9"/>
      <c r="N493" s="9"/>
      <c r="O493" s="9"/>
      <c r="P493" s="10"/>
      <c r="Q493" s="11"/>
      <c r="R493" s="11"/>
      <c r="S493" s="11"/>
      <c r="T493" s="11"/>
      <c r="U493" s="11"/>
      <c r="V493" s="11"/>
      <c r="W493" s="11"/>
      <c r="X493" s="11"/>
      <c r="Y493" s="11"/>
      <c r="Z493" s="12"/>
      <c r="AA493" s="12"/>
      <c r="AB493" s="12"/>
      <c r="AC493" s="12"/>
      <c r="AD493" s="12"/>
      <c r="AE493" s="12"/>
      <c r="AF493" s="12"/>
    </row>
    <row r="494" ht="46.5" customHeight="1">
      <c r="A494" s="1"/>
      <c r="B494" s="2"/>
      <c r="C494" s="2"/>
      <c r="D494" s="3"/>
      <c r="E494" s="3"/>
      <c r="F494" s="3"/>
      <c r="G494" s="3"/>
      <c r="H494" s="4"/>
      <c r="I494" s="5"/>
      <c r="J494" s="6"/>
      <c r="K494" s="7"/>
      <c r="L494" s="8"/>
      <c r="M494" s="9"/>
      <c r="N494" s="9"/>
      <c r="O494" s="9"/>
      <c r="P494" s="10"/>
      <c r="Q494" s="11"/>
      <c r="R494" s="11"/>
      <c r="S494" s="11"/>
      <c r="T494" s="11"/>
      <c r="U494" s="11"/>
      <c r="V494" s="11"/>
      <c r="W494" s="11"/>
      <c r="X494" s="11"/>
      <c r="Y494" s="11"/>
      <c r="Z494" s="12"/>
      <c r="AA494" s="12"/>
      <c r="AB494" s="12"/>
      <c r="AC494" s="12"/>
      <c r="AD494" s="12"/>
      <c r="AE494" s="12"/>
      <c r="AF494" s="12"/>
    </row>
    <row r="495" ht="46.5" customHeight="1">
      <c r="A495" s="1"/>
      <c r="B495" s="2"/>
      <c r="C495" s="2"/>
      <c r="D495" s="3"/>
      <c r="E495" s="3"/>
      <c r="F495" s="3"/>
      <c r="G495" s="3"/>
      <c r="H495" s="4"/>
      <c r="I495" s="5"/>
      <c r="J495" s="6"/>
      <c r="K495" s="7"/>
      <c r="L495" s="8"/>
      <c r="M495" s="9"/>
      <c r="N495" s="9"/>
      <c r="O495" s="9"/>
      <c r="P495" s="10"/>
      <c r="Q495" s="11"/>
      <c r="R495" s="11"/>
      <c r="S495" s="11"/>
      <c r="T495" s="11"/>
      <c r="U495" s="11"/>
      <c r="V495" s="11"/>
      <c r="W495" s="11"/>
      <c r="X495" s="11"/>
      <c r="Y495" s="11"/>
      <c r="Z495" s="12"/>
      <c r="AA495" s="12"/>
      <c r="AB495" s="12"/>
      <c r="AC495" s="12"/>
      <c r="AD495" s="12"/>
      <c r="AE495" s="12"/>
      <c r="AF495" s="12"/>
    </row>
    <row r="496" ht="46.5" customHeight="1">
      <c r="A496" s="1"/>
      <c r="B496" s="2"/>
      <c r="C496" s="2"/>
      <c r="D496" s="3"/>
      <c r="E496" s="3"/>
      <c r="F496" s="3"/>
      <c r="G496" s="3"/>
      <c r="H496" s="4"/>
      <c r="I496" s="5"/>
      <c r="J496" s="6"/>
      <c r="K496" s="7"/>
      <c r="L496" s="8"/>
      <c r="M496" s="9"/>
      <c r="N496" s="9"/>
      <c r="O496" s="9"/>
      <c r="P496" s="10"/>
      <c r="Q496" s="11"/>
      <c r="R496" s="11"/>
      <c r="S496" s="11"/>
      <c r="T496" s="11"/>
      <c r="U496" s="11"/>
      <c r="V496" s="11"/>
      <c r="W496" s="11"/>
      <c r="X496" s="11"/>
      <c r="Y496" s="11"/>
      <c r="Z496" s="12"/>
      <c r="AA496" s="12"/>
      <c r="AB496" s="12"/>
      <c r="AC496" s="12"/>
      <c r="AD496" s="12"/>
      <c r="AE496" s="12"/>
      <c r="AF496" s="12"/>
    </row>
    <row r="497" ht="46.5" customHeight="1">
      <c r="A497" s="1"/>
      <c r="B497" s="2"/>
      <c r="C497" s="2"/>
      <c r="D497" s="3"/>
      <c r="E497" s="3"/>
      <c r="F497" s="3"/>
      <c r="G497" s="3"/>
      <c r="H497" s="4"/>
      <c r="I497" s="5"/>
      <c r="J497" s="6"/>
      <c r="K497" s="7"/>
      <c r="L497" s="8"/>
      <c r="M497" s="9"/>
      <c r="N497" s="9"/>
      <c r="O497" s="9"/>
      <c r="P497" s="10"/>
      <c r="Q497" s="11"/>
      <c r="R497" s="11"/>
      <c r="S497" s="11"/>
      <c r="T497" s="11"/>
      <c r="U497" s="11"/>
      <c r="V497" s="11"/>
      <c r="W497" s="11"/>
      <c r="X497" s="11"/>
      <c r="Y497" s="11"/>
      <c r="Z497" s="12"/>
      <c r="AA497" s="12"/>
      <c r="AB497" s="12"/>
      <c r="AC497" s="12"/>
      <c r="AD497" s="12"/>
      <c r="AE497" s="12"/>
      <c r="AF497" s="12"/>
    </row>
    <row r="498" ht="46.5" customHeight="1">
      <c r="A498" s="1"/>
      <c r="B498" s="2"/>
      <c r="C498" s="2"/>
      <c r="D498" s="3"/>
      <c r="E498" s="3"/>
      <c r="F498" s="3"/>
      <c r="G498" s="3"/>
      <c r="H498" s="4"/>
      <c r="I498" s="5"/>
      <c r="J498" s="6"/>
      <c r="K498" s="7"/>
      <c r="L498" s="8"/>
      <c r="M498" s="9"/>
      <c r="N498" s="9"/>
      <c r="O498" s="9"/>
      <c r="P498" s="10"/>
      <c r="Q498" s="11"/>
      <c r="R498" s="11"/>
      <c r="S498" s="11"/>
      <c r="T498" s="11"/>
      <c r="U498" s="11"/>
      <c r="V498" s="11"/>
      <c r="W498" s="11"/>
      <c r="X498" s="11"/>
      <c r="Y498" s="11"/>
      <c r="Z498" s="12"/>
      <c r="AA498" s="12"/>
      <c r="AB498" s="12"/>
      <c r="AC498" s="12"/>
      <c r="AD498" s="12"/>
      <c r="AE498" s="12"/>
      <c r="AF498" s="12"/>
    </row>
    <row r="499" ht="46.5" customHeight="1">
      <c r="A499" s="1"/>
      <c r="B499" s="2"/>
      <c r="C499" s="2"/>
      <c r="D499" s="3"/>
      <c r="E499" s="3"/>
      <c r="F499" s="3"/>
      <c r="G499" s="3"/>
      <c r="H499" s="4"/>
      <c r="I499" s="5"/>
      <c r="J499" s="6"/>
      <c r="K499" s="7"/>
      <c r="L499" s="8"/>
      <c r="M499" s="9"/>
      <c r="N499" s="9"/>
      <c r="O499" s="9"/>
      <c r="P499" s="10"/>
      <c r="Q499" s="11"/>
      <c r="R499" s="11"/>
      <c r="S499" s="11"/>
      <c r="T499" s="11"/>
      <c r="U499" s="11"/>
      <c r="V499" s="11"/>
      <c r="W499" s="11"/>
      <c r="X499" s="11"/>
      <c r="Y499" s="11"/>
      <c r="Z499" s="12"/>
      <c r="AA499" s="12"/>
      <c r="AB499" s="12"/>
      <c r="AC499" s="12"/>
      <c r="AD499" s="12"/>
      <c r="AE499" s="12"/>
      <c r="AF499" s="12"/>
    </row>
    <row r="500" ht="46.5" customHeight="1">
      <c r="A500" s="1"/>
      <c r="B500" s="2"/>
      <c r="C500" s="2"/>
      <c r="D500" s="3"/>
      <c r="E500" s="3"/>
      <c r="F500" s="3"/>
      <c r="G500" s="3"/>
      <c r="H500" s="4"/>
      <c r="I500" s="5"/>
      <c r="J500" s="6"/>
      <c r="K500" s="7"/>
      <c r="L500" s="8"/>
      <c r="M500" s="9"/>
      <c r="N500" s="9"/>
      <c r="O500" s="9"/>
      <c r="P500" s="10"/>
      <c r="Q500" s="11"/>
      <c r="R500" s="11"/>
      <c r="S500" s="11"/>
      <c r="T500" s="11"/>
      <c r="U500" s="11"/>
      <c r="V500" s="11"/>
      <c r="W500" s="11"/>
      <c r="X500" s="11"/>
      <c r="Y500" s="11"/>
      <c r="Z500" s="12"/>
      <c r="AA500" s="12"/>
      <c r="AB500" s="12"/>
      <c r="AC500" s="12"/>
      <c r="AD500" s="12"/>
      <c r="AE500" s="12"/>
      <c r="AF500" s="12"/>
    </row>
    <row r="501" ht="46.5" customHeight="1">
      <c r="A501" s="1"/>
      <c r="B501" s="2"/>
      <c r="C501" s="2"/>
      <c r="D501" s="3"/>
      <c r="E501" s="3"/>
      <c r="F501" s="3"/>
      <c r="G501" s="3"/>
      <c r="H501" s="4"/>
      <c r="I501" s="5"/>
      <c r="J501" s="6"/>
      <c r="K501" s="7"/>
      <c r="L501" s="8"/>
      <c r="M501" s="9"/>
      <c r="N501" s="9"/>
      <c r="O501" s="9"/>
      <c r="P501" s="10"/>
      <c r="Q501" s="11"/>
      <c r="R501" s="11"/>
      <c r="S501" s="11"/>
      <c r="T501" s="11"/>
      <c r="U501" s="11"/>
      <c r="V501" s="11"/>
      <c r="W501" s="11"/>
      <c r="X501" s="11"/>
      <c r="Y501" s="11"/>
      <c r="Z501" s="12"/>
      <c r="AA501" s="12"/>
      <c r="AB501" s="12"/>
      <c r="AC501" s="12"/>
      <c r="AD501" s="12"/>
      <c r="AE501" s="12"/>
      <c r="AF501" s="12"/>
    </row>
    <row r="502" ht="46.5" customHeight="1">
      <c r="A502" s="1"/>
      <c r="B502" s="2"/>
      <c r="C502" s="2"/>
      <c r="D502" s="3"/>
      <c r="E502" s="3"/>
      <c r="F502" s="3"/>
      <c r="G502" s="3"/>
      <c r="H502" s="4"/>
      <c r="I502" s="5"/>
      <c r="J502" s="6"/>
      <c r="K502" s="7"/>
      <c r="L502" s="8"/>
      <c r="M502" s="9"/>
      <c r="N502" s="9"/>
      <c r="O502" s="9"/>
      <c r="P502" s="10"/>
      <c r="Q502" s="11"/>
      <c r="R502" s="11"/>
      <c r="S502" s="11"/>
      <c r="T502" s="11"/>
      <c r="U502" s="11"/>
      <c r="V502" s="11"/>
      <c r="W502" s="11"/>
      <c r="X502" s="11"/>
      <c r="Y502" s="11"/>
      <c r="Z502" s="12"/>
      <c r="AA502" s="12"/>
      <c r="AB502" s="12"/>
      <c r="AC502" s="12"/>
      <c r="AD502" s="12"/>
      <c r="AE502" s="12"/>
      <c r="AF502" s="12"/>
    </row>
    <row r="503" ht="46.5" customHeight="1">
      <c r="A503" s="1"/>
      <c r="B503" s="2"/>
      <c r="C503" s="2"/>
      <c r="D503" s="3"/>
      <c r="E503" s="3"/>
      <c r="F503" s="3"/>
      <c r="G503" s="3"/>
      <c r="H503" s="4"/>
      <c r="I503" s="5"/>
      <c r="J503" s="6"/>
      <c r="K503" s="7"/>
      <c r="L503" s="8"/>
      <c r="M503" s="9"/>
      <c r="N503" s="9"/>
      <c r="O503" s="9"/>
      <c r="P503" s="10"/>
      <c r="Q503" s="11"/>
      <c r="R503" s="11"/>
      <c r="S503" s="11"/>
      <c r="T503" s="11"/>
      <c r="U503" s="11"/>
      <c r="V503" s="11"/>
      <c r="W503" s="11"/>
      <c r="X503" s="11"/>
      <c r="Y503" s="11"/>
      <c r="Z503" s="12"/>
      <c r="AA503" s="12"/>
      <c r="AB503" s="12"/>
      <c r="AC503" s="12"/>
      <c r="AD503" s="12"/>
      <c r="AE503" s="12"/>
      <c r="AF503" s="12"/>
    </row>
    <row r="504" ht="46.5" customHeight="1">
      <c r="A504" s="1"/>
      <c r="B504" s="2"/>
      <c r="C504" s="2"/>
      <c r="D504" s="3"/>
      <c r="E504" s="3"/>
      <c r="F504" s="3"/>
      <c r="G504" s="3"/>
      <c r="H504" s="4"/>
      <c r="I504" s="5"/>
      <c r="J504" s="6"/>
      <c r="K504" s="7"/>
      <c r="L504" s="8"/>
      <c r="M504" s="9"/>
      <c r="N504" s="9"/>
      <c r="O504" s="9"/>
      <c r="P504" s="10"/>
      <c r="Q504" s="11"/>
      <c r="R504" s="11"/>
      <c r="S504" s="11"/>
      <c r="T504" s="11"/>
      <c r="U504" s="11"/>
      <c r="V504" s="11"/>
      <c r="W504" s="11"/>
      <c r="X504" s="11"/>
      <c r="Y504" s="11"/>
      <c r="Z504" s="12"/>
      <c r="AA504" s="12"/>
      <c r="AB504" s="12"/>
      <c r="AC504" s="12"/>
      <c r="AD504" s="12"/>
      <c r="AE504" s="12"/>
      <c r="AF504" s="12"/>
    </row>
    <row r="505" ht="46.5" customHeight="1">
      <c r="A505" s="1"/>
      <c r="B505" s="2"/>
      <c r="C505" s="2"/>
      <c r="D505" s="3"/>
      <c r="E505" s="3"/>
      <c r="F505" s="3"/>
      <c r="G505" s="3"/>
      <c r="H505" s="4"/>
      <c r="I505" s="5"/>
      <c r="J505" s="6"/>
      <c r="K505" s="7"/>
      <c r="L505" s="8"/>
      <c r="M505" s="9"/>
      <c r="N505" s="9"/>
      <c r="O505" s="9"/>
      <c r="P505" s="10"/>
      <c r="Q505" s="11"/>
      <c r="R505" s="11"/>
      <c r="S505" s="11"/>
      <c r="T505" s="11"/>
      <c r="U505" s="11"/>
      <c r="V505" s="11"/>
      <c r="W505" s="11"/>
      <c r="X505" s="11"/>
      <c r="Y505" s="11"/>
      <c r="Z505" s="12"/>
      <c r="AA505" s="12"/>
      <c r="AB505" s="12"/>
      <c r="AC505" s="12"/>
      <c r="AD505" s="12"/>
      <c r="AE505" s="12"/>
      <c r="AF505" s="12"/>
    </row>
    <row r="506" ht="46.5" customHeight="1">
      <c r="A506" s="1"/>
      <c r="B506" s="2"/>
      <c r="C506" s="2"/>
      <c r="D506" s="3"/>
      <c r="E506" s="3"/>
      <c r="F506" s="3"/>
      <c r="G506" s="3"/>
      <c r="H506" s="4"/>
      <c r="I506" s="5"/>
      <c r="J506" s="6"/>
      <c r="K506" s="7"/>
      <c r="L506" s="8"/>
      <c r="M506" s="9"/>
      <c r="N506" s="9"/>
      <c r="O506" s="9"/>
      <c r="P506" s="10"/>
      <c r="Q506" s="11"/>
      <c r="R506" s="11"/>
      <c r="S506" s="11"/>
      <c r="T506" s="11"/>
      <c r="U506" s="11"/>
      <c r="V506" s="11"/>
      <c r="W506" s="11"/>
      <c r="X506" s="11"/>
      <c r="Y506" s="11"/>
      <c r="Z506" s="12"/>
      <c r="AA506" s="12"/>
      <c r="AB506" s="12"/>
      <c r="AC506" s="12"/>
      <c r="AD506" s="12"/>
      <c r="AE506" s="12"/>
      <c r="AF506" s="12"/>
    </row>
    <row r="507" ht="46.5" customHeight="1">
      <c r="A507" s="1"/>
      <c r="B507" s="2"/>
      <c r="C507" s="2"/>
      <c r="D507" s="3"/>
      <c r="E507" s="3"/>
      <c r="F507" s="3"/>
      <c r="G507" s="3"/>
      <c r="H507" s="4"/>
      <c r="I507" s="5"/>
      <c r="J507" s="6"/>
      <c r="K507" s="7"/>
      <c r="L507" s="8"/>
      <c r="M507" s="9"/>
      <c r="N507" s="9"/>
      <c r="O507" s="9"/>
      <c r="P507" s="10"/>
      <c r="Q507" s="11"/>
      <c r="R507" s="11"/>
      <c r="S507" s="11"/>
      <c r="T507" s="11"/>
      <c r="U507" s="11"/>
      <c r="V507" s="11"/>
      <c r="W507" s="11"/>
      <c r="X507" s="11"/>
      <c r="Y507" s="11"/>
      <c r="Z507" s="12"/>
      <c r="AA507" s="12"/>
      <c r="AB507" s="12"/>
      <c r="AC507" s="12"/>
      <c r="AD507" s="12"/>
      <c r="AE507" s="12"/>
      <c r="AF507" s="12"/>
    </row>
    <row r="508" ht="46.5" customHeight="1">
      <c r="A508" s="1"/>
      <c r="B508" s="2"/>
      <c r="C508" s="2"/>
      <c r="D508" s="3"/>
      <c r="E508" s="3"/>
      <c r="F508" s="3"/>
      <c r="G508" s="3"/>
      <c r="H508" s="4"/>
      <c r="I508" s="5"/>
      <c r="J508" s="6"/>
      <c r="K508" s="7"/>
      <c r="L508" s="8"/>
      <c r="M508" s="9"/>
      <c r="N508" s="9"/>
      <c r="O508" s="9"/>
      <c r="P508" s="10"/>
      <c r="Q508" s="11"/>
      <c r="R508" s="11"/>
      <c r="S508" s="11"/>
      <c r="T508" s="11"/>
      <c r="U508" s="11"/>
      <c r="V508" s="11"/>
      <c r="W508" s="11"/>
      <c r="X508" s="11"/>
      <c r="Y508" s="11"/>
      <c r="Z508" s="12"/>
      <c r="AA508" s="12"/>
      <c r="AB508" s="12"/>
      <c r="AC508" s="12"/>
      <c r="AD508" s="12"/>
      <c r="AE508" s="12"/>
      <c r="AF508" s="12"/>
    </row>
    <row r="509" ht="46.5" customHeight="1">
      <c r="A509" s="1"/>
      <c r="B509" s="2"/>
      <c r="C509" s="2"/>
      <c r="D509" s="3"/>
      <c r="E509" s="3"/>
      <c r="F509" s="3"/>
      <c r="G509" s="3"/>
      <c r="H509" s="4"/>
      <c r="I509" s="5"/>
      <c r="J509" s="6"/>
      <c r="K509" s="7"/>
      <c r="L509" s="8"/>
      <c r="M509" s="9"/>
      <c r="N509" s="9"/>
      <c r="O509" s="9"/>
      <c r="P509" s="10"/>
      <c r="Q509" s="11"/>
      <c r="R509" s="11"/>
      <c r="S509" s="11"/>
      <c r="T509" s="11"/>
      <c r="U509" s="11"/>
      <c r="V509" s="11"/>
      <c r="W509" s="11"/>
      <c r="X509" s="11"/>
      <c r="Y509" s="11"/>
      <c r="Z509" s="12"/>
      <c r="AA509" s="12"/>
      <c r="AB509" s="12"/>
      <c r="AC509" s="12"/>
      <c r="AD509" s="12"/>
      <c r="AE509" s="12"/>
      <c r="AF509" s="12"/>
    </row>
    <row r="510" ht="46.5" customHeight="1">
      <c r="A510" s="1"/>
      <c r="B510" s="2"/>
      <c r="C510" s="2"/>
      <c r="D510" s="3"/>
      <c r="E510" s="3"/>
      <c r="F510" s="3"/>
      <c r="G510" s="3"/>
      <c r="H510" s="4"/>
      <c r="I510" s="5"/>
      <c r="J510" s="6"/>
      <c r="K510" s="7"/>
      <c r="L510" s="8"/>
      <c r="M510" s="9"/>
      <c r="N510" s="9"/>
      <c r="O510" s="9"/>
      <c r="P510" s="10"/>
      <c r="Q510" s="11"/>
      <c r="R510" s="11"/>
      <c r="S510" s="11"/>
      <c r="T510" s="11"/>
      <c r="U510" s="11"/>
      <c r="V510" s="11"/>
      <c r="W510" s="11"/>
      <c r="X510" s="11"/>
      <c r="Y510" s="11"/>
      <c r="Z510" s="12"/>
      <c r="AA510" s="12"/>
      <c r="AB510" s="12"/>
      <c r="AC510" s="12"/>
      <c r="AD510" s="12"/>
      <c r="AE510" s="12"/>
      <c r="AF510" s="12"/>
    </row>
    <row r="511" ht="46.5" customHeight="1">
      <c r="A511" s="1"/>
      <c r="B511" s="2"/>
      <c r="C511" s="2"/>
      <c r="D511" s="3"/>
      <c r="E511" s="3"/>
      <c r="F511" s="3"/>
      <c r="G511" s="3"/>
      <c r="H511" s="4"/>
      <c r="I511" s="5"/>
      <c r="J511" s="6"/>
      <c r="K511" s="7"/>
      <c r="L511" s="8"/>
      <c r="M511" s="9"/>
      <c r="N511" s="9"/>
      <c r="O511" s="9"/>
      <c r="P511" s="10"/>
      <c r="Q511" s="11"/>
      <c r="R511" s="11"/>
      <c r="S511" s="11"/>
      <c r="T511" s="11"/>
      <c r="U511" s="11"/>
      <c r="V511" s="11"/>
      <c r="W511" s="11"/>
      <c r="X511" s="11"/>
      <c r="Y511" s="11"/>
      <c r="Z511" s="12"/>
      <c r="AA511" s="12"/>
      <c r="AB511" s="12"/>
      <c r="AC511" s="12"/>
      <c r="AD511" s="12"/>
      <c r="AE511" s="12"/>
      <c r="AF511" s="12"/>
    </row>
    <row r="512" ht="46.5" customHeight="1">
      <c r="A512" s="1"/>
      <c r="B512" s="2"/>
      <c r="C512" s="2"/>
      <c r="D512" s="3"/>
      <c r="E512" s="3"/>
      <c r="F512" s="3"/>
      <c r="G512" s="3"/>
      <c r="H512" s="4"/>
      <c r="I512" s="5"/>
      <c r="J512" s="6"/>
      <c r="K512" s="7"/>
      <c r="L512" s="8"/>
      <c r="M512" s="9"/>
      <c r="N512" s="9"/>
      <c r="O512" s="9"/>
      <c r="P512" s="10"/>
      <c r="Q512" s="11"/>
      <c r="R512" s="11"/>
      <c r="S512" s="11"/>
      <c r="T512" s="11"/>
      <c r="U512" s="11"/>
      <c r="V512" s="11"/>
      <c r="W512" s="11"/>
      <c r="X512" s="11"/>
      <c r="Y512" s="11"/>
      <c r="Z512" s="12"/>
      <c r="AA512" s="12"/>
      <c r="AB512" s="12"/>
      <c r="AC512" s="12"/>
      <c r="AD512" s="12"/>
      <c r="AE512" s="12"/>
      <c r="AF512" s="12"/>
    </row>
    <row r="513" ht="46.5" customHeight="1">
      <c r="A513" s="1"/>
      <c r="B513" s="2"/>
      <c r="C513" s="2"/>
      <c r="D513" s="3"/>
      <c r="E513" s="3"/>
      <c r="F513" s="3"/>
      <c r="G513" s="3"/>
      <c r="H513" s="4"/>
      <c r="I513" s="5"/>
      <c r="J513" s="6"/>
      <c r="K513" s="7"/>
      <c r="L513" s="8"/>
      <c r="M513" s="9"/>
      <c r="N513" s="9"/>
      <c r="O513" s="9"/>
      <c r="P513" s="10"/>
      <c r="Q513" s="11"/>
      <c r="R513" s="11"/>
      <c r="S513" s="11"/>
      <c r="T513" s="11"/>
      <c r="U513" s="11"/>
      <c r="V513" s="11"/>
      <c r="W513" s="11"/>
      <c r="X513" s="11"/>
      <c r="Y513" s="11"/>
      <c r="Z513" s="12"/>
      <c r="AA513" s="12"/>
      <c r="AB513" s="12"/>
      <c r="AC513" s="12"/>
      <c r="AD513" s="12"/>
      <c r="AE513" s="12"/>
      <c r="AF513" s="12"/>
    </row>
    <row r="514" ht="46.5" customHeight="1">
      <c r="A514" s="1"/>
      <c r="B514" s="2"/>
      <c r="C514" s="2"/>
      <c r="D514" s="3"/>
      <c r="E514" s="3"/>
      <c r="F514" s="3"/>
      <c r="G514" s="3"/>
      <c r="H514" s="4"/>
      <c r="I514" s="5"/>
      <c r="J514" s="6"/>
      <c r="K514" s="7"/>
      <c r="L514" s="8"/>
      <c r="M514" s="9"/>
      <c r="N514" s="9"/>
      <c r="O514" s="9"/>
      <c r="P514" s="10"/>
      <c r="Q514" s="11"/>
      <c r="R514" s="11"/>
      <c r="S514" s="11"/>
      <c r="T514" s="11"/>
      <c r="U514" s="11"/>
      <c r="V514" s="11"/>
      <c r="W514" s="11"/>
      <c r="X514" s="11"/>
      <c r="Y514" s="11"/>
      <c r="Z514" s="12"/>
      <c r="AA514" s="12"/>
      <c r="AB514" s="12"/>
      <c r="AC514" s="12"/>
      <c r="AD514" s="12"/>
      <c r="AE514" s="12"/>
      <c r="AF514" s="12"/>
    </row>
    <row r="515" ht="46.5" customHeight="1">
      <c r="A515" s="1"/>
      <c r="B515" s="2"/>
      <c r="C515" s="2"/>
      <c r="D515" s="3"/>
      <c r="E515" s="3"/>
      <c r="F515" s="3"/>
      <c r="G515" s="3"/>
      <c r="H515" s="4"/>
      <c r="I515" s="5"/>
      <c r="J515" s="6"/>
      <c r="K515" s="7"/>
      <c r="L515" s="8"/>
      <c r="M515" s="9"/>
      <c r="N515" s="9"/>
      <c r="O515" s="9"/>
      <c r="P515" s="10"/>
      <c r="Q515" s="11"/>
      <c r="R515" s="11"/>
      <c r="S515" s="11"/>
      <c r="T515" s="11"/>
      <c r="U515" s="11"/>
      <c r="V515" s="11"/>
      <c r="W515" s="11"/>
      <c r="X515" s="11"/>
      <c r="Y515" s="11"/>
      <c r="Z515" s="12"/>
      <c r="AA515" s="12"/>
      <c r="AB515" s="12"/>
      <c r="AC515" s="12"/>
      <c r="AD515" s="12"/>
      <c r="AE515" s="12"/>
      <c r="AF515" s="12"/>
    </row>
    <row r="516" ht="46.5" customHeight="1">
      <c r="A516" s="1"/>
      <c r="B516" s="2"/>
      <c r="C516" s="2"/>
      <c r="D516" s="3"/>
      <c r="E516" s="3"/>
      <c r="F516" s="3"/>
      <c r="G516" s="3"/>
      <c r="H516" s="4"/>
      <c r="I516" s="5"/>
      <c r="J516" s="6"/>
      <c r="K516" s="7"/>
      <c r="L516" s="8"/>
      <c r="M516" s="9"/>
      <c r="N516" s="9"/>
      <c r="O516" s="9"/>
      <c r="P516" s="10"/>
      <c r="Q516" s="11"/>
      <c r="R516" s="11"/>
      <c r="S516" s="11"/>
      <c r="T516" s="11"/>
      <c r="U516" s="11"/>
      <c r="V516" s="11"/>
      <c r="W516" s="11"/>
      <c r="X516" s="11"/>
      <c r="Y516" s="11"/>
      <c r="Z516" s="12"/>
      <c r="AA516" s="12"/>
      <c r="AB516" s="12"/>
      <c r="AC516" s="12"/>
      <c r="AD516" s="12"/>
      <c r="AE516" s="12"/>
      <c r="AF516" s="12"/>
    </row>
    <row r="517" ht="46.5" customHeight="1">
      <c r="A517" s="1"/>
      <c r="B517" s="2"/>
      <c r="C517" s="2"/>
      <c r="D517" s="3"/>
      <c r="E517" s="3"/>
      <c r="F517" s="3"/>
      <c r="G517" s="3"/>
      <c r="H517" s="4"/>
      <c r="I517" s="5"/>
      <c r="J517" s="6"/>
      <c r="K517" s="7"/>
      <c r="L517" s="8"/>
      <c r="M517" s="9"/>
      <c r="N517" s="9"/>
      <c r="O517" s="9"/>
      <c r="P517" s="10"/>
      <c r="Q517" s="11"/>
      <c r="R517" s="11"/>
      <c r="S517" s="11"/>
      <c r="T517" s="11"/>
      <c r="U517" s="11"/>
      <c r="V517" s="11"/>
      <c r="W517" s="11"/>
      <c r="X517" s="11"/>
      <c r="Y517" s="11"/>
      <c r="Z517" s="12"/>
      <c r="AA517" s="12"/>
      <c r="AB517" s="12"/>
      <c r="AC517" s="12"/>
      <c r="AD517" s="12"/>
      <c r="AE517" s="12"/>
      <c r="AF517" s="12"/>
    </row>
    <row r="518" ht="46.5" customHeight="1">
      <c r="A518" s="1"/>
      <c r="B518" s="2"/>
      <c r="C518" s="2"/>
      <c r="D518" s="3"/>
      <c r="E518" s="3"/>
      <c r="F518" s="3"/>
      <c r="G518" s="3"/>
      <c r="H518" s="4"/>
      <c r="I518" s="5"/>
      <c r="J518" s="6"/>
      <c r="K518" s="7"/>
      <c r="L518" s="8"/>
      <c r="M518" s="9"/>
      <c r="N518" s="9"/>
      <c r="O518" s="9"/>
      <c r="P518" s="10"/>
      <c r="Q518" s="11"/>
      <c r="R518" s="11"/>
      <c r="S518" s="11"/>
      <c r="T518" s="11"/>
      <c r="U518" s="11"/>
      <c r="V518" s="11"/>
      <c r="W518" s="11"/>
      <c r="X518" s="11"/>
      <c r="Y518" s="11"/>
      <c r="Z518" s="12"/>
      <c r="AA518" s="12"/>
      <c r="AB518" s="12"/>
      <c r="AC518" s="12"/>
      <c r="AD518" s="12"/>
      <c r="AE518" s="12"/>
      <c r="AF518" s="12"/>
    </row>
    <row r="519" ht="46.5" customHeight="1">
      <c r="A519" s="1"/>
      <c r="B519" s="2"/>
      <c r="C519" s="2"/>
      <c r="D519" s="3"/>
      <c r="E519" s="3"/>
      <c r="F519" s="3"/>
      <c r="G519" s="3"/>
      <c r="H519" s="4"/>
      <c r="I519" s="5"/>
      <c r="J519" s="6"/>
      <c r="K519" s="7"/>
      <c r="L519" s="8"/>
      <c r="M519" s="9"/>
      <c r="N519" s="9"/>
      <c r="O519" s="9"/>
      <c r="P519" s="10"/>
      <c r="Q519" s="11"/>
      <c r="R519" s="11"/>
      <c r="S519" s="11"/>
      <c r="T519" s="11"/>
      <c r="U519" s="11"/>
      <c r="V519" s="11"/>
      <c r="W519" s="11"/>
      <c r="X519" s="11"/>
      <c r="Y519" s="11"/>
      <c r="Z519" s="12"/>
      <c r="AA519" s="12"/>
      <c r="AB519" s="12"/>
      <c r="AC519" s="12"/>
      <c r="AD519" s="12"/>
      <c r="AE519" s="12"/>
      <c r="AF519" s="12"/>
    </row>
    <row r="520" ht="46.5" customHeight="1">
      <c r="A520" s="1"/>
      <c r="B520" s="2"/>
      <c r="C520" s="2"/>
      <c r="D520" s="3"/>
      <c r="E520" s="3"/>
      <c r="F520" s="3"/>
      <c r="G520" s="3"/>
      <c r="H520" s="4"/>
      <c r="I520" s="5"/>
      <c r="J520" s="6"/>
      <c r="K520" s="7"/>
      <c r="L520" s="8"/>
      <c r="M520" s="9"/>
      <c r="N520" s="9"/>
      <c r="O520" s="9"/>
      <c r="P520" s="10"/>
      <c r="Q520" s="11"/>
      <c r="R520" s="11"/>
      <c r="S520" s="11"/>
      <c r="T520" s="11"/>
      <c r="U520" s="11"/>
      <c r="V520" s="11"/>
      <c r="W520" s="11"/>
      <c r="X520" s="11"/>
      <c r="Y520" s="11"/>
      <c r="Z520" s="12"/>
      <c r="AA520" s="12"/>
      <c r="AB520" s="12"/>
      <c r="AC520" s="12"/>
      <c r="AD520" s="12"/>
      <c r="AE520" s="12"/>
      <c r="AF520" s="12"/>
    </row>
    <row r="521" ht="46.5" customHeight="1">
      <c r="A521" s="1"/>
      <c r="B521" s="2"/>
      <c r="C521" s="2"/>
      <c r="D521" s="3"/>
      <c r="E521" s="3"/>
      <c r="F521" s="3"/>
      <c r="G521" s="3"/>
      <c r="H521" s="4"/>
      <c r="I521" s="5"/>
      <c r="J521" s="6"/>
      <c r="K521" s="7"/>
      <c r="L521" s="8"/>
      <c r="M521" s="9"/>
      <c r="N521" s="9"/>
      <c r="O521" s="9"/>
      <c r="P521" s="10"/>
      <c r="Q521" s="11"/>
      <c r="R521" s="11"/>
      <c r="S521" s="11"/>
      <c r="T521" s="11"/>
      <c r="U521" s="11"/>
      <c r="V521" s="11"/>
      <c r="W521" s="11"/>
      <c r="X521" s="11"/>
      <c r="Y521" s="11"/>
      <c r="Z521" s="12"/>
      <c r="AA521" s="12"/>
      <c r="AB521" s="12"/>
      <c r="AC521" s="12"/>
      <c r="AD521" s="12"/>
      <c r="AE521" s="12"/>
      <c r="AF521" s="12"/>
    </row>
    <row r="522" ht="46.5" customHeight="1">
      <c r="A522" s="1"/>
      <c r="B522" s="2"/>
      <c r="C522" s="2"/>
      <c r="D522" s="3"/>
      <c r="E522" s="3"/>
      <c r="F522" s="3"/>
      <c r="G522" s="3"/>
      <c r="H522" s="4"/>
      <c r="I522" s="5"/>
      <c r="J522" s="6"/>
      <c r="K522" s="7"/>
      <c r="L522" s="8"/>
      <c r="M522" s="9"/>
      <c r="N522" s="9"/>
      <c r="O522" s="9"/>
      <c r="P522" s="10"/>
      <c r="Q522" s="11"/>
      <c r="R522" s="11"/>
      <c r="S522" s="11"/>
      <c r="T522" s="11"/>
      <c r="U522" s="11"/>
      <c r="V522" s="11"/>
      <c r="W522" s="11"/>
      <c r="X522" s="11"/>
      <c r="Y522" s="11"/>
      <c r="Z522" s="12"/>
      <c r="AA522" s="12"/>
      <c r="AB522" s="12"/>
      <c r="AC522" s="12"/>
      <c r="AD522" s="12"/>
      <c r="AE522" s="12"/>
      <c r="AF522" s="12"/>
    </row>
    <row r="523" ht="46.5" customHeight="1">
      <c r="A523" s="1"/>
      <c r="B523" s="2"/>
      <c r="C523" s="2"/>
      <c r="D523" s="3"/>
      <c r="E523" s="3"/>
      <c r="F523" s="3"/>
      <c r="G523" s="3"/>
      <c r="H523" s="4"/>
      <c r="I523" s="5"/>
      <c r="J523" s="6"/>
      <c r="K523" s="7"/>
      <c r="L523" s="8"/>
      <c r="M523" s="9"/>
      <c r="N523" s="9"/>
      <c r="O523" s="9"/>
      <c r="P523" s="10"/>
      <c r="Q523" s="11"/>
      <c r="R523" s="11"/>
      <c r="S523" s="11"/>
      <c r="T523" s="11"/>
      <c r="U523" s="11"/>
      <c r="V523" s="11"/>
      <c r="W523" s="11"/>
      <c r="X523" s="11"/>
      <c r="Y523" s="11"/>
      <c r="Z523" s="12"/>
      <c r="AA523" s="12"/>
      <c r="AB523" s="12"/>
      <c r="AC523" s="12"/>
      <c r="AD523" s="12"/>
      <c r="AE523" s="12"/>
      <c r="AF523" s="12"/>
    </row>
    <row r="524" ht="46.5" customHeight="1">
      <c r="A524" s="1"/>
      <c r="B524" s="2"/>
      <c r="C524" s="2"/>
      <c r="D524" s="3"/>
      <c r="E524" s="3"/>
      <c r="F524" s="3"/>
      <c r="G524" s="3"/>
      <c r="H524" s="4"/>
      <c r="I524" s="5"/>
      <c r="J524" s="6"/>
      <c r="K524" s="7"/>
      <c r="L524" s="8"/>
      <c r="M524" s="9"/>
      <c r="N524" s="9"/>
      <c r="O524" s="9"/>
      <c r="P524" s="10"/>
      <c r="Q524" s="11"/>
      <c r="R524" s="11"/>
      <c r="S524" s="11"/>
      <c r="T524" s="11"/>
      <c r="U524" s="11"/>
      <c r="V524" s="11"/>
      <c r="W524" s="11"/>
      <c r="X524" s="11"/>
      <c r="Y524" s="11"/>
      <c r="Z524" s="12"/>
      <c r="AA524" s="12"/>
      <c r="AB524" s="12"/>
      <c r="AC524" s="12"/>
      <c r="AD524" s="12"/>
      <c r="AE524" s="12"/>
      <c r="AF524" s="12"/>
    </row>
    <row r="525" ht="46.5" customHeight="1">
      <c r="A525" s="1"/>
      <c r="B525" s="2"/>
      <c r="C525" s="2"/>
      <c r="D525" s="3"/>
      <c r="E525" s="3"/>
      <c r="F525" s="3"/>
      <c r="G525" s="3"/>
      <c r="H525" s="4"/>
      <c r="I525" s="5"/>
      <c r="J525" s="6"/>
      <c r="K525" s="7"/>
      <c r="L525" s="8"/>
      <c r="M525" s="9"/>
      <c r="N525" s="9"/>
      <c r="O525" s="9"/>
      <c r="P525" s="10"/>
      <c r="Q525" s="11"/>
      <c r="R525" s="11"/>
      <c r="S525" s="11"/>
      <c r="T525" s="11"/>
      <c r="U525" s="11"/>
      <c r="V525" s="11"/>
      <c r="W525" s="11"/>
      <c r="X525" s="11"/>
      <c r="Y525" s="11"/>
      <c r="Z525" s="12"/>
      <c r="AA525" s="12"/>
      <c r="AB525" s="12"/>
      <c r="AC525" s="12"/>
      <c r="AD525" s="12"/>
      <c r="AE525" s="12"/>
      <c r="AF525" s="12"/>
    </row>
    <row r="526" ht="46.5" customHeight="1">
      <c r="A526" s="1"/>
      <c r="B526" s="2"/>
      <c r="C526" s="2"/>
      <c r="D526" s="3"/>
      <c r="E526" s="3"/>
      <c r="F526" s="3"/>
      <c r="G526" s="3"/>
      <c r="H526" s="4"/>
      <c r="I526" s="5"/>
      <c r="J526" s="6"/>
      <c r="K526" s="7"/>
      <c r="L526" s="8"/>
      <c r="M526" s="9"/>
      <c r="N526" s="9"/>
      <c r="O526" s="9"/>
      <c r="P526" s="10"/>
      <c r="Q526" s="11"/>
      <c r="R526" s="11"/>
      <c r="S526" s="11"/>
      <c r="T526" s="11"/>
      <c r="U526" s="11"/>
      <c r="V526" s="11"/>
      <c r="W526" s="11"/>
      <c r="X526" s="11"/>
      <c r="Y526" s="11"/>
      <c r="Z526" s="12"/>
      <c r="AA526" s="12"/>
      <c r="AB526" s="12"/>
      <c r="AC526" s="12"/>
      <c r="AD526" s="12"/>
      <c r="AE526" s="12"/>
      <c r="AF526" s="12"/>
    </row>
    <row r="527" ht="46.5" customHeight="1">
      <c r="A527" s="1"/>
      <c r="B527" s="2"/>
      <c r="C527" s="2"/>
      <c r="D527" s="3"/>
      <c r="E527" s="3"/>
      <c r="F527" s="3"/>
      <c r="G527" s="3"/>
      <c r="H527" s="4"/>
      <c r="I527" s="5"/>
      <c r="J527" s="6"/>
      <c r="K527" s="7"/>
      <c r="L527" s="8"/>
      <c r="M527" s="9"/>
      <c r="N527" s="9"/>
      <c r="O527" s="9"/>
      <c r="P527" s="10"/>
      <c r="Q527" s="11"/>
      <c r="R527" s="11"/>
      <c r="S527" s="11"/>
      <c r="T527" s="11"/>
      <c r="U527" s="11"/>
      <c r="V527" s="11"/>
      <c r="W527" s="11"/>
      <c r="X527" s="11"/>
      <c r="Y527" s="11"/>
      <c r="Z527" s="12"/>
      <c r="AA527" s="12"/>
      <c r="AB527" s="12"/>
      <c r="AC527" s="12"/>
      <c r="AD527" s="12"/>
      <c r="AE527" s="12"/>
      <c r="AF527" s="12"/>
    </row>
    <row r="528" ht="46.5" customHeight="1">
      <c r="A528" s="1"/>
      <c r="B528" s="2"/>
      <c r="C528" s="2"/>
      <c r="D528" s="3"/>
      <c r="E528" s="3"/>
      <c r="F528" s="3"/>
      <c r="G528" s="3"/>
      <c r="H528" s="4"/>
      <c r="I528" s="5"/>
      <c r="J528" s="6"/>
      <c r="K528" s="7"/>
      <c r="L528" s="8"/>
      <c r="M528" s="9"/>
      <c r="N528" s="9"/>
      <c r="O528" s="9"/>
      <c r="P528" s="10"/>
      <c r="Q528" s="11"/>
      <c r="R528" s="11"/>
      <c r="S528" s="11"/>
      <c r="T528" s="11"/>
      <c r="U528" s="11"/>
      <c r="V528" s="11"/>
      <c r="W528" s="11"/>
      <c r="X528" s="11"/>
      <c r="Y528" s="11"/>
      <c r="Z528" s="12"/>
      <c r="AA528" s="12"/>
      <c r="AB528" s="12"/>
      <c r="AC528" s="12"/>
      <c r="AD528" s="12"/>
      <c r="AE528" s="12"/>
      <c r="AF528" s="12"/>
    </row>
    <row r="529" ht="46.5" customHeight="1">
      <c r="A529" s="1"/>
      <c r="B529" s="2"/>
      <c r="C529" s="2"/>
      <c r="D529" s="3"/>
      <c r="E529" s="3"/>
      <c r="F529" s="3"/>
      <c r="G529" s="3"/>
      <c r="H529" s="4"/>
      <c r="I529" s="5"/>
      <c r="J529" s="6"/>
      <c r="K529" s="7"/>
      <c r="L529" s="8"/>
      <c r="M529" s="9"/>
      <c r="N529" s="9"/>
      <c r="O529" s="9"/>
      <c r="P529" s="10"/>
      <c r="Q529" s="11"/>
      <c r="R529" s="11"/>
      <c r="S529" s="11"/>
      <c r="T529" s="11"/>
      <c r="U529" s="11"/>
      <c r="V529" s="11"/>
      <c r="W529" s="11"/>
      <c r="X529" s="11"/>
      <c r="Y529" s="11"/>
      <c r="Z529" s="12"/>
      <c r="AA529" s="12"/>
      <c r="AB529" s="12"/>
      <c r="AC529" s="12"/>
      <c r="AD529" s="12"/>
      <c r="AE529" s="12"/>
      <c r="AF529" s="12"/>
    </row>
    <row r="530" ht="46.5" customHeight="1">
      <c r="A530" s="1"/>
      <c r="B530" s="2"/>
      <c r="C530" s="2"/>
      <c r="D530" s="3"/>
      <c r="E530" s="3"/>
      <c r="F530" s="3"/>
      <c r="G530" s="3"/>
      <c r="H530" s="4"/>
      <c r="I530" s="5"/>
      <c r="J530" s="6"/>
      <c r="K530" s="7"/>
      <c r="L530" s="8"/>
      <c r="M530" s="9"/>
      <c r="N530" s="9"/>
      <c r="O530" s="9"/>
      <c r="P530" s="10"/>
      <c r="Q530" s="11"/>
      <c r="R530" s="11"/>
      <c r="S530" s="11"/>
      <c r="T530" s="11"/>
      <c r="U530" s="11"/>
      <c r="V530" s="11"/>
      <c r="W530" s="11"/>
      <c r="X530" s="11"/>
      <c r="Y530" s="11"/>
      <c r="Z530" s="12"/>
      <c r="AA530" s="12"/>
      <c r="AB530" s="12"/>
      <c r="AC530" s="12"/>
      <c r="AD530" s="12"/>
      <c r="AE530" s="12"/>
      <c r="AF530" s="12"/>
    </row>
    <row r="531" ht="46.5" customHeight="1">
      <c r="A531" s="1"/>
      <c r="B531" s="2"/>
      <c r="C531" s="2"/>
      <c r="D531" s="3"/>
      <c r="E531" s="3"/>
      <c r="F531" s="3"/>
      <c r="G531" s="3"/>
      <c r="H531" s="4"/>
      <c r="I531" s="5"/>
      <c r="J531" s="6"/>
      <c r="K531" s="7"/>
      <c r="L531" s="8"/>
      <c r="M531" s="9"/>
      <c r="N531" s="9"/>
      <c r="O531" s="9"/>
      <c r="P531" s="10"/>
      <c r="Q531" s="11"/>
      <c r="R531" s="11"/>
      <c r="S531" s="11"/>
      <c r="T531" s="11"/>
      <c r="U531" s="11"/>
      <c r="V531" s="11"/>
      <c r="W531" s="11"/>
      <c r="X531" s="11"/>
      <c r="Y531" s="11"/>
      <c r="Z531" s="12"/>
      <c r="AA531" s="12"/>
      <c r="AB531" s="12"/>
      <c r="AC531" s="12"/>
      <c r="AD531" s="12"/>
      <c r="AE531" s="12"/>
      <c r="AF531" s="12"/>
    </row>
    <row r="532" ht="46.5" customHeight="1">
      <c r="A532" s="1"/>
      <c r="B532" s="2"/>
      <c r="C532" s="2"/>
      <c r="D532" s="3"/>
      <c r="E532" s="3"/>
      <c r="F532" s="3"/>
      <c r="G532" s="3"/>
      <c r="H532" s="4"/>
      <c r="I532" s="5"/>
      <c r="J532" s="6"/>
      <c r="K532" s="7"/>
      <c r="L532" s="8"/>
      <c r="M532" s="9"/>
      <c r="N532" s="9"/>
      <c r="O532" s="9"/>
      <c r="P532" s="10"/>
      <c r="Q532" s="11"/>
      <c r="R532" s="11"/>
      <c r="S532" s="11"/>
      <c r="T532" s="11"/>
      <c r="U532" s="11"/>
      <c r="V532" s="11"/>
      <c r="W532" s="11"/>
      <c r="X532" s="11"/>
      <c r="Y532" s="11"/>
      <c r="Z532" s="12"/>
      <c r="AA532" s="12"/>
      <c r="AB532" s="12"/>
      <c r="AC532" s="12"/>
      <c r="AD532" s="12"/>
      <c r="AE532" s="12"/>
      <c r="AF532" s="12"/>
    </row>
    <row r="533" ht="46.5" customHeight="1">
      <c r="A533" s="1"/>
      <c r="B533" s="2"/>
      <c r="C533" s="2"/>
      <c r="D533" s="3"/>
      <c r="E533" s="3"/>
      <c r="F533" s="3"/>
      <c r="G533" s="3"/>
      <c r="H533" s="4"/>
      <c r="I533" s="5"/>
      <c r="J533" s="6"/>
      <c r="K533" s="7"/>
      <c r="L533" s="8"/>
      <c r="M533" s="9"/>
      <c r="N533" s="9"/>
      <c r="O533" s="9"/>
      <c r="P533" s="10"/>
      <c r="Q533" s="11"/>
      <c r="R533" s="11"/>
      <c r="S533" s="11"/>
      <c r="T533" s="11"/>
      <c r="U533" s="11"/>
      <c r="V533" s="11"/>
      <c r="W533" s="11"/>
      <c r="X533" s="11"/>
      <c r="Y533" s="11"/>
      <c r="Z533" s="12"/>
      <c r="AA533" s="12"/>
      <c r="AB533" s="12"/>
      <c r="AC533" s="12"/>
      <c r="AD533" s="12"/>
      <c r="AE533" s="12"/>
      <c r="AF533" s="12"/>
    </row>
    <row r="534" ht="46.5" customHeight="1">
      <c r="A534" s="1"/>
      <c r="B534" s="2"/>
      <c r="C534" s="2"/>
      <c r="D534" s="3"/>
      <c r="E534" s="3"/>
      <c r="F534" s="3"/>
      <c r="G534" s="3"/>
      <c r="H534" s="4"/>
      <c r="I534" s="5"/>
      <c r="J534" s="6"/>
      <c r="K534" s="7"/>
      <c r="L534" s="8"/>
      <c r="M534" s="9"/>
      <c r="N534" s="9"/>
      <c r="O534" s="9"/>
      <c r="P534" s="10"/>
      <c r="Q534" s="11"/>
      <c r="R534" s="11"/>
      <c r="S534" s="11"/>
      <c r="T534" s="11"/>
      <c r="U534" s="11"/>
      <c r="V534" s="11"/>
      <c r="W534" s="11"/>
      <c r="X534" s="11"/>
      <c r="Y534" s="11"/>
      <c r="Z534" s="12"/>
      <c r="AA534" s="12"/>
      <c r="AB534" s="12"/>
      <c r="AC534" s="12"/>
      <c r="AD534" s="12"/>
      <c r="AE534" s="12"/>
      <c r="AF534" s="12"/>
    </row>
    <row r="535" ht="46.5" customHeight="1">
      <c r="A535" s="1"/>
      <c r="B535" s="2"/>
      <c r="C535" s="2"/>
      <c r="D535" s="3"/>
      <c r="E535" s="3"/>
      <c r="F535" s="3"/>
      <c r="G535" s="3"/>
      <c r="H535" s="4"/>
      <c r="I535" s="5"/>
      <c r="J535" s="6"/>
      <c r="K535" s="7"/>
      <c r="L535" s="8"/>
      <c r="M535" s="9"/>
      <c r="N535" s="9"/>
      <c r="O535" s="9"/>
      <c r="P535" s="10"/>
      <c r="Q535" s="11"/>
      <c r="R535" s="11"/>
      <c r="S535" s="11"/>
      <c r="T535" s="11"/>
      <c r="U535" s="11"/>
      <c r="V535" s="11"/>
      <c r="W535" s="11"/>
      <c r="X535" s="11"/>
      <c r="Y535" s="11"/>
      <c r="Z535" s="12"/>
      <c r="AA535" s="12"/>
      <c r="AB535" s="12"/>
      <c r="AC535" s="12"/>
      <c r="AD535" s="12"/>
      <c r="AE535" s="12"/>
      <c r="AF535" s="12"/>
    </row>
    <row r="536" ht="46.5" customHeight="1">
      <c r="A536" s="1"/>
      <c r="B536" s="2"/>
      <c r="C536" s="2"/>
      <c r="D536" s="3"/>
      <c r="E536" s="3"/>
      <c r="F536" s="3"/>
      <c r="G536" s="3"/>
      <c r="H536" s="4"/>
      <c r="I536" s="5"/>
      <c r="J536" s="6"/>
      <c r="K536" s="7"/>
      <c r="L536" s="8"/>
      <c r="M536" s="9"/>
      <c r="N536" s="9"/>
      <c r="O536" s="9"/>
      <c r="P536" s="10"/>
      <c r="Q536" s="11"/>
      <c r="R536" s="11"/>
      <c r="S536" s="11"/>
      <c r="T536" s="11"/>
      <c r="U536" s="11"/>
      <c r="V536" s="11"/>
      <c r="W536" s="11"/>
      <c r="X536" s="11"/>
      <c r="Y536" s="11"/>
      <c r="Z536" s="12"/>
      <c r="AA536" s="12"/>
      <c r="AB536" s="12"/>
      <c r="AC536" s="12"/>
      <c r="AD536" s="12"/>
      <c r="AE536" s="12"/>
      <c r="AF536" s="12"/>
    </row>
    <row r="537" ht="46.5" customHeight="1">
      <c r="A537" s="1"/>
      <c r="B537" s="2"/>
      <c r="C537" s="2"/>
      <c r="D537" s="3"/>
      <c r="E537" s="3"/>
      <c r="F537" s="3"/>
      <c r="G537" s="3"/>
      <c r="H537" s="4"/>
      <c r="I537" s="5"/>
      <c r="J537" s="6"/>
      <c r="K537" s="7"/>
      <c r="L537" s="8"/>
      <c r="M537" s="9"/>
      <c r="N537" s="9"/>
      <c r="O537" s="9"/>
      <c r="P537" s="10"/>
      <c r="Q537" s="11"/>
      <c r="R537" s="11"/>
      <c r="S537" s="11"/>
      <c r="T537" s="11"/>
      <c r="U537" s="11"/>
      <c r="V537" s="11"/>
      <c r="W537" s="11"/>
      <c r="X537" s="11"/>
      <c r="Y537" s="11"/>
      <c r="Z537" s="12"/>
      <c r="AA537" s="12"/>
      <c r="AB537" s="12"/>
      <c r="AC537" s="12"/>
      <c r="AD537" s="12"/>
      <c r="AE537" s="12"/>
      <c r="AF537" s="12"/>
    </row>
    <row r="538" ht="46.5" customHeight="1">
      <c r="A538" s="1"/>
      <c r="B538" s="2"/>
      <c r="C538" s="2"/>
      <c r="D538" s="3"/>
      <c r="E538" s="3"/>
      <c r="F538" s="3"/>
      <c r="G538" s="3"/>
      <c r="H538" s="4"/>
      <c r="I538" s="5"/>
      <c r="J538" s="6"/>
      <c r="K538" s="7"/>
      <c r="L538" s="8"/>
      <c r="M538" s="9"/>
      <c r="N538" s="9"/>
      <c r="O538" s="9"/>
      <c r="P538" s="10"/>
      <c r="Q538" s="11"/>
      <c r="R538" s="11"/>
      <c r="S538" s="11"/>
      <c r="T538" s="11"/>
      <c r="U538" s="11"/>
      <c r="V538" s="11"/>
      <c r="W538" s="11"/>
      <c r="X538" s="11"/>
      <c r="Y538" s="11"/>
      <c r="Z538" s="12"/>
      <c r="AA538" s="12"/>
      <c r="AB538" s="12"/>
      <c r="AC538" s="12"/>
      <c r="AD538" s="12"/>
      <c r="AE538" s="12"/>
      <c r="AF538" s="12"/>
    </row>
    <row r="539" ht="46.5" customHeight="1">
      <c r="A539" s="1"/>
      <c r="B539" s="2"/>
      <c r="C539" s="2"/>
      <c r="D539" s="3"/>
      <c r="E539" s="3"/>
      <c r="F539" s="3"/>
      <c r="G539" s="3"/>
      <c r="H539" s="4"/>
      <c r="I539" s="5"/>
      <c r="J539" s="6"/>
      <c r="K539" s="7"/>
      <c r="L539" s="8"/>
      <c r="M539" s="9"/>
      <c r="N539" s="9"/>
      <c r="O539" s="9"/>
      <c r="P539" s="10"/>
      <c r="Q539" s="11"/>
      <c r="R539" s="11"/>
      <c r="S539" s="11"/>
      <c r="T539" s="11"/>
      <c r="U539" s="11"/>
      <c r="V539" s="11"/>
      <c r="W539" s="11"/>
      <c r="X539" s="11"/>
      <c r="Y539" s="11"/>
      <c r="Z539" s="12"/>
      <c r="AA539" s="12"/>
      <c r="AB539" s="12"/>
      <c r="AC539" s="12"/>
      <c r="AD539" s="12"/>
      <c r="AE539" s="12"/>
      <c r="AF539" s="12"/>
    </row>
    <row r="540" ht="46.5" customHeight="1">
      <c r="A540" s="1"/>
      <c r="B540" s="2"/>
      <c r="C540" s="2"/>
      <c r="D540" s="3"/>
      <c r="E540" s="3"/>
      <c r="F540" s="3"/>
      <c r="G540" s="3"/>
      <c r="H540" s="4"/>
      <c r="I540" s="5"/>
      <c r="J540" s="6"/>
      <c r="K540" s="7"/>
      <c r="L540" s="8"/>
      <c r="M540" s="9"/>
      <c r="N540" s="9"/>
      <c r="O540" s="9"/>
      <c r="P540" s="10"/>
      <c r="Q540" s="11"/>
      <c r="R540" s="11"/>
      <c r="S540" s="11"/>
      <c r="T540" s="11"/>
      <c r="U540" s="11"/>
      <c r="V540" s="11"/>
      <c r="W540" s="11"/>
      <c r="X540" s="11"/>
      <c r="Y540" s="11"/>
      <c r="Z540" s="12"/>
      <c r="AA540" s="12"/>
      <c r="AB540" s="12"/>
      <c r="AC540" s="12"/>
      <c r="AD540" s="12"/>
      <c r="AE540" s="12"/>
      <c r="AF540" s="12"/>
    </row>
    <row r="541" ht="46.5" customHeight="1">
      <c r="A541" s="1"/>
      <c r="B541" s="2"/>
      <c r="C541" s="2"/>
      <c r="D541" s="3"/>
      <c r="E541" s="3"/>
      <c r="F541" s="3"/>
      <c r="G541" s="3"/>
      <c r="H541" s="4"/>
      <c r="I541" s="5"/>
      <c r="J541" s="6"/>
      <c r="K541" s="7"/>
      <c r="L541" s="8"/>
      <c r="M541" s="9"/>
      <c r="N541" s="9"/>
      <c r="O541" s="9"/>
      <c r="P541" s="10"/>
      <c r="Q541" s="11"/>
      <c r="R541" s="11"/>
      <c r="S541" s="11"/>
      <c r="T541" s="11"/>
      <c r="U541" s="11"/>
      <c r="V541" s="11"/>
      <c r="W541" s="11"/>
      <c r="X541" s="11"/>
      <c r="Y541" s="11"/>
      <c r="Z541" s="12"/>
      <c r="AA541" s="12"/>
      <c r="AB541" s="12"/>
      <c r="AC541" s="12"/>
      <c r="AD541" s="12"/>
      <c r="AE541" s="12"/>
      <c r="AF541" s="12"/>
    </row>
    <row r="542" ht="46.5" customHeight="1">
      <c r="A542" s="1"/>
      <c r="B542" s="2"/>
      <c r="C542" s="2"/>
      <c r="D542" s="3"/>
      <c r="E542" s="3"/>
      <c r="F542" s="3"/>
      <c r="G542" s="3"/>
      <c r="H542" s="4"/>
      <c r="I542" s="5"/>
      <c r="J542" s="6"/>
      <c r="K542" s="7"/>
      <c r="L542" s="8"/>
      <c r="M542" s="9"/>
      <c r="N542" s="9"/>
      <c r="O542" s="9"/>
      <c r="P542" s="10"/>
      <c r="Q542" s="11"/>
      <c r="R542" s="11"/>
      <c r="S542" s="11"/>
      <c r="T542" s="11"/>
      <c r="U542" s="11"/>
      <c r="V542" s="11"/>
      <c r="W542" s="11"/>
      <c r="X542" s="11"/>
      <c r="Y542" s="11"/>
      <c r="Z542" s="12"/>
      <c r="AA542" s="12"/>
      <c r="AB542" s="12"/>
      <c r="AC542" s="12"/>
      <c r="AD542" s="12"/>
      <c r="AE542" s="12"/>
      <c r="AF542" s="12"/>
    </row>
    <row r="543" ht="46.5" customHeight="1">
      <c r="A543" s="1"/>
      <c r="B543" s="2"/>
      <c r="C543" s="2"/>
      <c r="D543" s="3"/>
      <c r="E543" s="3"/>
      <c r="F543" s="3"/>
      <c r="G543" s="3"/>
      <c r="H543" s="4"/>
      <c r="I543" s="5"/>
      <c r="J543" s="6"/>
      <c r="K543" s="7"/>
      <c r="L543" s="8"/>
      <c r="M543" s="9"/>
      <c r="N543" s="9"/>
      <c r="O543" s="9"/>
      <c r="P543" s="10"/>
      <c r="Q543" s="11"/>
      <c r="R543" s="11"/>
      <c r="S543" s="11"/>
      <c r="T543" s="11"/>
      <c r="U543" s="11"/>
      <c r="V543" s="11"/>
      <c r="W543" s="11"/>
      <c r="X543" s="11"/>
      <c r="Y543" s="11"/>
      <c r="Z543" s="12"/>
      <c r="AA543" s="12"/>
      <c r="AB543" s="12"/>
      <c r="AC543" s="12"/>
      <c r="AD543" s="12"/>
      <c r="AE543" s="12"/>
      <c r="AF543" s="12"/>
    </row>
    <row r="544" ht="46.5" customHeight="1">
      <c r="A544" s="1"/>
      <c r="B544" s="2"/>
      <c r="C544" s="2"/>
      <c r="D544" s="3"/>
      <c r="E544" s="3"/>
      <c r="F544" s="3"/>
      <c r="G544" s="3"/>
      <c r="H544" s="4"/>
      <c r="I544" s="5"/>
      <c r="J544" s="6"/>
      <c r="K544" s="7"/>
      <c r="L544" s="8"/>
      <c r="M544" s="9"/>
      <c r="N544" s="9"/>
      <c r="O544" s="9"/>
      <c r="P544" s="10"/>
      <c r="Q544" s="11"/>
      <c r="R544" s="11"/>
      <c r="S544" s="11"/>
      <c r="T544" s="11"/>
      <c r="U544" s="11"/>
      <c r="V544" s="11"/>
      <c r="W544" s="11"/>
      <c r="X544" s="11"/>
      <c r="Y544" s="11"/>
      <c r="Z544" s="12"/>
      <c r="AA544" s="12"/>
      <c r="AB544" s="12"/>
      <c r="AC544" s="12"/>
      <c r="AD544" s="12"/>
      <c r="AE544" s="12"/>
      <c r="AF544" s="12"/>
    </row>
    <row r="545" ht="46.5" customHeight="1">
      <c r="A545" s="1"/>
      <c r="B545" s="2"/>
      <c r="C545" s="2"/>
      <c r="D545" s="3"/>
      <c r="E545" s="3"/>
      <c r="F545" s="3"/>
      <c r="G545" s="3"/>
      <c r="H545" s="4"/>
      <c r="I545" s="5"/>
      <c r="J545" s="6"/>
      <c r="K545" s="7"/>
      <c r="L545" s="8"/>
      <c r="M545" s="9"/>
      <c r="N545" s="9"/>
      <c r="O545" s="9"/>
      <c r="P545" s="10"/>
      <c r="Q545" s="11"/>
      <c r="R545" s="11"/>
      <c r="S545" s="11"/>
      <c r="T545" s="11"/>
      <c r="U545" s="11"/>
      <c r="V545" s="11"/>
      <c r="W545" s="11"/>
      <c r="X545" s="11"/>
      <c r="Y545" s="11"/>
      <c r="Z545" s="12"/>
      <c r="AA545" s="12"/>
      <c r="AB545" s="12"/>
      <c r="AC545" s="12"/>
      <c r="AD545" s="12"/>
      <c r="AE545" s="12"/>
      <c r="AF545" s="12"/>
    </row>
    <row r="546" ht="46.5" customHeight="1">
      <c r="A546" s="1"/>
      <c r="B546" s="2"/>
      <c r="C546" s="2"/>
      <c r="D546" s="3"/>
      <c r="E546" s="3"/>
      <c r="F546" s="3"/>
      <c r="G546" s="3"/>
      <c r="H546" s="4"/>
      <c r="I546" s="5"/>
      <c r="J546" s="6"/>
      <c r="K546" s="7"/>
      <c r="L546" s="8"/>
      <c r="M546" s="9"/>
      <c r="N546" s="9"/>
      <c r="O546" s="9"/>
      <c r="P546" s="10"/>
      <c r="Q546" s="11"/>
      <c r="R546" s="11"/>
      <c r="S546" s="11"/>
      <c r="T546" s="11"/>
      <c r="U546" s="11"/>
      <c r="V546" s="11"/>
      <c r="W546" s="11"/>
      <c r="X546" s="11"/>
      <c r="Y546" s="11"/>
      <c r="Z546" s="12"/>
      <c r="AA546" s="12"/>
      <c r="AB546" s="12"/>
      <c r="AC546" s="12"/>
      <c r="AD546" s="12"/>
      <c r="AE546" s="12"/>
      <c r="AF546" s="12"/>
    </row>
    <row r="547" ht="46.5" customHeight="1">
      <c r="A547" s="1"/>
      <c r="B547" s="2"/>
      <c r="C547" s="2"/>
      <c r="D547" s="3"/>
      <c r="E547" s="3"/>
      <c r="F547" s="3"/>
      <c r="G547" s="3"/>
      <c r="H547" s="4"/>
      <c r="I547" s="5"/>
      <c r="J547" s="6"/>
      <c r="K547" s="7"/>
      <c r="L547" s="8"/>
      <c r="M547" s="9"/>
      <c r="N547" s="9"/>
      <c r="O547" s="9"/>
      <c r="P547" s="10"/>
      <c r="Q547" s="11"/>
      <c r="R547" s="11"/>
      <c r="S547" s="11"/>
      <c r="T547" s="11"/>
      <c r="U547" s="11"/>
      <c r="V547" s="11"/>
      <c r="W547" s="11"/>
      <c r="X547" s="11"/>
      <c r="Y547" s="11"/>
      <c r="Z547" s="12"/>
      <c r="AA547" s="12"/>
      <c r="AB547" s="12"/>
      <c r="AC547" s="12"/>
      <c r="AD547" s="12"/>
      <c r="AE547" s="12"/>
      <c r="AF547" s="12"/>
    </row>
    <row r="548" ht="46.5" customHeight="1">
      <c r="A548" s="1"/>
      <c r="B548" s="2"/>
      <c r="C548" s="2"/>
      <c r="D548" s="3"/>
      <c r="E548" s="3"/>
      <c r="F548" s="3"/>
      <c r="G548" s="3"/>
      <c r="H548" s="4"/>
      <c r="I548" s="5"/>
      <c r="J548" s="6"/>
      <c r="K548" s="7"/>
      <c r="L548" s="8"/>
      <c r="M548" s="9"/>
      <c r="N548" s="9"/>
      <c r="O548" s="9"/>
      <c r="P548" s="10"/>
      <c r="Q548" s="11"/>
      <c r="R548" s="11"/>
      <c r="S548" s="11"/>
      <c r="T548" s="11"/>
      <c r="U548" s="11"/>
      <c r="V548" s="11"/>
      <c r="W548" s="11"/>
      <c r="X548" s="11"/>
      <c r="Y548" s="11"/>
      <c r="Z548" s="12"/>
      <c r="AA548" s="12"/>
      <c r="AB548" s="12"/>
      <c r="AC548" s="12"/>
      <c r="AD548" s="12"/>
      <c r="AE548" s="12"/>
      <c r="AF548" s="12"/>
    </row>
    <row r="549" ht="46.5" customHeight="1">
      <c r="A549" s="1"/>
      <c r="B549" s="2"/>
      <c r="C549" s="2"/>
      <c r="D549" s="3"/>
      <c r="E549" s="3"/>
      <c r="F549" s="3"/>
      <c r="G549" s="3"/>
      <c r="H549" s="4"/>
      <c r="I549" s="5"/>
      <c r="J549" s="6"/>
      <c r="K549" s="7"/>
      <c r="L549" s="8"/>
      <c r="M549" s="9"/>
      <c r="N549" s="9"/>
      <c r="O549" s="9"/>
      <c r="P549" s="10"/>
      <c r="Q549" s="11"/>
      <c r="R549" s="11"/>
      <c r="S549" s="11"/>
      <c r="T549" s="11"/>
      <c r="U549" s="11"/>
      <c r="V549" s="11"/>
      <c r="W549" s="11"/>
      <c r="X549" s="11"/>
      <c r="Y549" s="11"/>
      <c r="Z549" s="12"/>
      <c r="AA549" s="12"/>
      <c r="AB549" s="12"/>
      <c r="AC549" s="12"/>
      <c r="AD549" s="12"/>
      <c r="AE549" s="12"/>
      <c r="AF549" s="12"/>
    </row>
    <row r="550" ht="46.5" customHeight="1">
      <c r="A550" s="1"/>
      <c r="B550" s="2"/>
      <c r="C550" s="2"/>
      <c r="D550" s="3"/>
      <c r="E550" s="3"/>
      <c r="F550" s="3"/>
      <c r="G550" s="3"/>
      <c r="H550" s="4"/>
      <c r="I550" s="5"/>
      <c r="J550" s="6"/>
      <c r="K550" s="7"/>
      <c r="L550" s="8"/>
      <c r="M550" s="9"/>
      <c r="N550" s="9"/>
      <c r="O550" s="9"/>
      <c r="P550" s="10"/>
      <c r="Q550" s="11"/>
      <c r="R550" s="11"/>
      <c r="S550" s="11"/>
      <c r="T550" s="11"/>
      <c r="U550" s="11"/>
      <c r="V550" s="11"/>
      <c r="W550" s="11"/>
      <c r="X550" s="11"/>
      <c r="Y550" s="11"/>
      <c r="Z550" s="12"/>
      <c r="AA550" s="12"/>
      <c r="AB550" s="12"/>
      <c r="AC550" s="12"/>
      <c r="AD550" s="12"/>
      <c r="AE550" s="12"/>
      <c r="AF550" s="12"/>
    </row>
    <row r="551" ht="46.5" customHeight="1">
      <c r="A551" s="1"/>
      <c r="B551" s="2"/>
      <c r="C551" s="2"/>
      <c r="D551" s="3"/>
      <c r="E551" s="3"/>
      <c r="F551" s="3"/>
      <c r="G551" s="3"/>
      <c r="H551" s="4"/>
      <c r="I551" s="5"/>
      <c r="J551" s="6"/>
      <c r="K551" s="7"/>
      <c r="L551" s="8"/>
      <c r="M551" s="9"/>
      <c r="N551" s="9"/>
      <c r="O551" s="9"/>
      <c r="P551" s="10"/>
      <c r="Q551" s="11"/>
      <c r="R551" s="11"/>
      <c r="S551" s="11"/>
      <c r="T551" s="11"/>
      <c r="U551" s="11"/>
      <c r="V551" s="11"/>
      <c r="W551" s="11"/>
      <c r="X551" s="11"/>
      <c r="Y551" s="11"/>
      <c r="Z551" s="12"/>
      <c r="AA551" s="12"/>
      <c r="AB551" s="12"/>
      <c r="AC551" s="12"/>
      <c r="AD551" s="12"/>
      <c r="AE551" s="12"/>
      <c r="AF551" s="12"/>
    </row>
    <row r="552" ht="46.5" customHeight="1">
      <c r="A552" s="1"/>
      <c r="B552" s="2"/>
      <c r="C552" s="2"/>
      <c r="D552" s="3"/>
      <c r="E552" s="3"/>
      <c r="F552" s="3"/>
      <c r="G552" s="3"/>
      <c r="H552" s="4"/>
      <c r="I552" s="5"/>
      <c r="J552" s="6"/>
      <c r="K552" s="7"/>
      <c r="L552" s="8"/>
      <c r="M552" s="9"/>
      <c r="N552" s="9"/>
      <c r="O552" s="9"/>
      <c r="P552" s="10"/>
      <c r="Q552" s="11"/>
      <c r="R552" s="11"/>
      <c r="S552" s="11"/>
      <c r="T552" s="11"/>
      <c r="U552" s="11"/>
      <c r="V552" s="11"/>
      <c r="W552" s="11"/>
      <c r="X552" s="11"/>
      <c r="Y552" s="11"/>
      <c r="Z552" s="12"/>
      <c r="AA552" s="12"/>
      <c r="AB552" s="12"/>
      <c r="AC552" s="12"/>
      <c r="AD552" s="12"/>
      <c r="AE552" s="12"/>
      <c r="AF552" s="12"/>
    </row>
    <row r="553" ht="46.5" customHeight="1">
      <c r="A553" s="1"/>
      <c r="B553" s="2"/>
      <c r="C553" s="2"/>
      <c r="D553" s="3"/>
      <c r="E553" s="3"/>
      <c r="F553" s="3"/>
      <c r="G553" s="3"/>
      <c r="H553" s="4"/>
      <c r="I553" s="5"/>
      <c r="J553" s="6"/>
      <c r="K553" s="7"/>
      <c r="L553" s="8"/>
      <c r="M553" s="9"/>
      <c r="N553" s="9"/>
      <c r="O553" s="9"/>
      <c r="P553" s="10"/>
      <c r="Q553" s="11"/>
      <c r="R553" s="11"/>
      <c r="S553" s="11"/>
      <c r="T553" s="11"/>
      <c r="U553" s="11"/>
      <c r="V553" s="11"/>
      <c r="W553" s="11"/>
      <c r="X553" s="11"/>
      <c r="Y553" s="11"/>
      <c r="Z553" s="12"/>
      <c r="AA553" s="12"/>
      <c r="AB553" s="12"/>
      <c r="AC553" s="12"/>
      <c r="AD553" s="12"/>
      <c r="AE553" s="12"/>
      <c r="AF553" s="12"/>
    </row>
    <row r="554" ht="46.5" customHeight="1">
      <c r="A554" s="1"/>
      <c r="B554" s="2"/>
      <c r="C554" s="2"/>
      <c r="D554" s="3"/>
      <c r="E554" s="3"/>
      <c r="F554" s="3"/>
      <c r="G554" s="3"/>
      <c r="H554" s="4"/>
      <c r="I554" s="5"/>
      <c r="J554" s="6"/>
      <c r="K554" s="7"/>
      <c r="L554" s="8"/>
      <c r="M554" s="9"/>
      <c r="N554" s="9"/>
      <c r="O554" s="9"/>
      <c r="P554" s="10"/>
      <c r="Q554" s="11"/>
      <c r="R554" s="11"/>
      <c r="S554" s="11"/>
      <c r="T554" s="11"/>
      <c r="U554" s="11"/>
      <c r="V554" s="11"/>
      <c r="W554" s="11"/>
      <c r="X554" s="11"/>
      <c r="Y554" s="11"/>
      <c r="Z554" s="12"/>
      <c r="AA554" s="12"/>
      <c r="AB554" s="12"/>
      <c r="AC554" s="12"/>
      <c r="AD554" s="12"/>
      <c r="AE554" s="12"/>
      <c r="AF554" s="12"/>
    </row>
    <row r="555" ht="46.5" customHeight="1">
      <c r="A555" s="1"/>
      <c r="B555" s="2"/>
      <c r="C555" s="2"/>
      <c r="D555" s="3"/>
      <c r="E555" s="3"/>
      <c r="F555" s="3"/>
      <c r="G555" s="3"/>
      <c r="H555" s="4"/>
      <c r="I555" s="5"/>
      <c r="J555" s="6"/>
      <c r="K555" s="7"/>
      <c r="L555" s="8"/>
      <c r="M555" s="9"/>
      <c r="N555" s="9"/>
      <c r="O555" s="9"/>
      <c r="P555" s="10"/>
      <c r="Q555" s="11"/>
      <c r="R555" s="11"/>
      <c r="S555" s="11"/>
      <c r="T555" s="11"/>
      <c r="U555" s="11"/>
      <c r="V555" s="11"/>
      <c r="W555" s="11"/>
      <c r="X555" s="11"/>
      <c r="Y555" s="11"/>
      <c r="Z555" s="12"/>
      <c r="AA555" s="12"/>
      <c r="AB555" s="12"/>
      <c r="AC555" s="12"/>
      <c r="AD555" s="12"/>
      <c r="AE555" s="12"/>
      <c r="AF555" s="12"/>
    </row>
    <row r="556" ht="46.5" customHeight="1">
      <c r="A556" s="1"/>
      <c r="B556" s="2"/>
      <c r="C556" s="2"/>
      <c r="D556" s="3"/>
      <c r="E556" s="3"/>
      <c r="F556" s="3"/>
      <c r="G556" s="3"/>
      <c r="H556" s="4"/>
      <c r="I556" s="5"/>
      <c r="J556" s="6"/>
      <c r="K556" s="7"/>
      <c r="L556" s="8"/>
      <c r="M556" s="9"/>
      <c r="N556" s="9"/>
      <c r="O556" s="9"/>
      <c r="P556" s="10"/>
      <c r="Q556" s="11"/>
      <c r="R556" s="11"/>
      <c r="S556" s="11"/>
      <c r="T556" s="11"/>
      <c r="U556" s="11"/>
      <c r="V556" s="11"/>
      <c r="W556" s="11"/>
      <c r="X556" s="11"/>
      <c r="Y556" s="11"/>
      <c r="Z556" s="12"/>
      <c r="AA556" s="12"/>
      <c r="AB556" s="12"/>
      <c r="AC556" s="12"/>
      <c r="AD556" s="12"/>
      <c r="AE556" s="12"/>
      <c r="AF556" s="12"/>
    </row>
    <row r="557" ht="46.5" customHeight="1">
      <c r="A557" s="1"/>
      <c r="B557" s="2"/>
      <c r="C557" s="2"/>
      <c r="D557" s="3"/>
      <c r="E557" s="3"/>
      <c r="F557" s="3"/>
      <c r="G557" s="3"/>
      <c r="H557" s="4"/>
      <c r="I557" s="5"/>
      <c r="J557" s="6"/>
      <c r="K557" s="7"/>
      <c r="L557" s="8"/>
      <c r="M557" s="9"/>
      <c r="N557" s="9"/>
      <c r="O557" s="9"/>
      <c r="P557" s="10"/>
      <c r="Q557" s="11"/>
      <c r="R557" s="11"/>
      <c r="S557" s="11"/>
      <c r="T557" s="11"/>
      <c r="U557" s="11"/>
      <c r="V557" s="11"/>
      <c r="W557" s="11"/>
      <c r="X557" s="11"/>
      <c r="Y557" s="11"/>
      <c r="Z557" s="12"/>
      <c r="AA557" s="12"/>
      <c r="AB557" s="12"/>
      <c r="AC557" s="12"/>
      <c r="AD557" s="12"/>
      <c r="AE557" s="12"/>
      <c r="AF557" s="12"/>
    </row>
    <row r="558" ht="46.5" customHeight="1">
      <c r="A558" s="1"/>
      <c r="B558" s="2"/>
      <c r="C558" s="2"/>
      <c r="D558" s="3"/>
      <c r="E558" s="3"/>
      <c r="F558" s="3"/>
      <c r="G558" s="3"/>
      <c r="H558" s="4"/>
      <c r="I558" s="5"/>
      <c r="J558" s="6"/>
      <c r="K558" s="7"/>
      <c r="L558" s="8"/>
      <c r="M558" s="9"/>
      <c r="N558" s="9"/>
      <c r="O558" s="9"/>
      <c r="P558" s="10"/>
      <c r="Q558" s="11"/>
      <c r="R558" s="11"/>
      <c r="S558" s="11"/>
      <c r="T558" s="11"/>
      <c r="U558" s="11"/>
      <c r="V558" s="11"/>
      <c r="W558" s="11"/>
      <c r="X558" s="11"/>
      <c r="Y558" s="11"/>
      <c r="Z558" s="12"/>
      <c r="AA558" s="12"/>
      <c r="AB558" s="12"/>
      <c r="AC558" s="12"/>
      <c r="AD558" s="12"/>
      <c r="AE558" s="12"/>
      <c r="AF558" s="12"/>
    </row>
    <row r="559" ht="46.5" customHeight="1">
      <c r="A559" s="1"/>
      <c r="B559" s="2"/>
      <c r="C559" s="2"/>
      <c r="D559" s="3"/>
      <c r="E559" s="3"/>
      <c r="F559" s="3"/>
      <c r="G559" s="3"/>
      <c r="H559" s="4"/>
      <c r="I559" s="5"/>
      <c r="J559" s="6"/>
      <c r="K559" s="7"/>
      <c r="L559" s="8"/>
      <c r="M559" s="9"/>
      <c r="N559" s="9"/>
      <c r="O559" s="9"/>
      <c r="P559" s="10"/>
      <c r="Q559" s="11"/>
      <c r="R559" s="11"/>
      <c r="S559" s="11"/>
      <c r="T559" s="11"/>
      <c r="U559" s="11"/>
      <c r="V559" s="11"/>
      <c r="W559" s="11"/>
      <c r="X559" s="11"/>
      <c r="Y559" s="11"/>
      <c r="Z559" s="12"/>
      <c r="AA559" s="12"/>
      <c r="AB559" s="12"/>
      <c r="AC559" s="12"/>
      <c r="AD559" s="12"/>
      <c r="AE559" s="12"/>
      <c r="AF559" s="12"/>
    </row>
    <row r="560" ht="46.5" customHeight="1">
      <c r="A560" s="1"/>
      <c r="B560" s="2"/>
      <c r="C560" s="2"/>
      <c r="D560" s="3"/>
      <c r="E560" s="3"/>
      <c r="F560" s="3"/>
      <c r="G560" s="3"/>
      <c r="H560" s="4"/>
      <c r="I560" s="5"/>
      <c r="J560" s="6"/>
      <c r="K560" s="7"/>
      <c r="L560" s="8"/>
      <c r="M560" s="9"/>
      <c r="N560" s="9"/>
      <c r="O560" s="9"/>
      <c r="P560" s="10"/>
      <c r="Q560" s="11"/>
      <c r="R560" s="11"/>
      <c r="S560" s="11"/>
      <c r="T560" s="11"/>
      <c r="U560" s="11"/>
      <c r="V560" s="11"/>
      <c r="W560" s="11"/>
      <c r="X560" s="11"/>
      <c r="Y560" s="11"/>
      <c r="Z560" s="12"/>
      <c r="AA560" s="12"/>
      <c r="AB560" s="12"/>
      <c r="AC560" s="12"/>
      <c r="AD560" s="12"/>
      <c r="AE560" s="12"/>
      <c r="AF560" s="12"/>
    </row>
    <row r="561" ht="46.5" customHeight="1">
      <c r="A561" s="1"/>
      <c r="B561" s="2"/>
      <c r="C561" s="2"/>
      <c r="D561" s="3"/>
      <c r="E561" s="3"/>
      <c r="F561" s="3"/>
      <c r="G561" s="3"/>
      <c r="H561" s="4"/>
      <c r="I561" s="5"/>
      <c r="J561" s="6"/>
      <c r="K561" s="7"/>
      <c r="L561" s="8"/>
      <c r="M561" s="9"/>
      <c r="N561" s="9"/>
      <c r="O561" s="9"/>
      <c r="P561" s="10"/>
      <c r="Q561" s="11"/>
      <c r="R561" s="11"/>
      <c r="S561" s="11"/>
      <c r="T561" s="11"/>
      <c r="U561" s="11"/>
      <c r="V561" s="11"/>
      <c r="W561" s="11"/>
      <c r="X561" s="11"/>
      <c r="Y561" s="11"/>
      <c r="Z561" s="12"/>
      <c r="AA561" s="12"/>
      <c r="AB561" s="12"/>
      <c r="AC561" s="12"/>
      <c r="AD561" s="12"/>
      <c r="AE561" s="12"/>
      <c r="AF561" s="12"/>
    </row>
    <row r="562" ht="46.5" customHeight="1">
      <c r="A562" s="1"/>
      <c r="B562" s="2"/>
      <c r="C562" s="2"/>
      <c r="D562" s="3"/>
      <c r="E562" s="3"/>
      <c r="F562" s="3"/>
      <c r="G562" s="3"/>
      <c r="H562" s="4"/>
      <c r="I562" s="5"/>
      <c r="J562" s="6"/>
      <c r="K562" s="7"/>
      <c r="L562" s="8"/>
      <c r="M562" s="9"/>
      <c r="N562" s="9"/>
      <c r="O562" s="9"/>
      <c r="P562" s="10"/>
      <c r="Q562" s="11"/>
      <c r="R562" s="11"/>
      <c r="S562" s="11"/>
      <c r="T562" s="11"/>
      <c r="U562" s="11"/>
      <c r="V562" s="11"/>
      <c r="W562" s="11"/>
      <c r="X562" s="11"/>
      <c r="Y562" s="11"/>
      <c r="Z562" s="12"/>
      <c r="AA562" s="12"/>
      <c r="AB562" s="12"/>
      <c r="AC562" s="12"/>
      <c r="AD562" s="12"/>
      <c r="AE562" s="12"/>
      <c r="AF562" s="12"/>
    </row>
    <row r="563" ht="46.5" customHeight="1">
      <c r="A563" s="1"/>
      <c r="B563" s="2"/>
      <c r="C563" s="2"/>
      <c r="D563" s="3"/>
      <c r="E563" s="3"/>
      <c r="F563" s="3"/>
      <c r="G563" s="3"/>
      <c r="H563" s="4"/>
      <c r="I563" s="5"/>
      <c r="J563" s="6"/>
      <c r="K563" s="7"/>
      <c r="L563" s="8"/>
      <c r="M563" s="9"/>
      <c r="N563" s="9"/>
      <c r="O563" s="9"/>
      <c r="P563" s="10"/>
      <c r="Q563" s="11"/>
      <c r="R563" s="11"/>
      <c r="S563" s="11"/>
      <c r="T563" s="11"/>
      <c r="U563" s="11"/>
      <c r="V563" s="11"/>
      <c r="W563" s="11"/>
      <c r="X563" s="11"/>
      <c r="Y563" s="11"/>
      <c r="Z563" s="12"/>
      <c r="AA563" s="12"/>
      <c r="AB563" s="12"/>
      <c r="AC563" s="12"/>
      <c r="AD563" s="12"/>
      <c r="AE563" s="12"/>
      <c r="AF563" s="12"/>
    </row>
    <row r="564" ht="46.5" customHeight="1">
      <c r="A564" s="1"/>
      <c r="B564" s="2"/>
      <c r="C564" s="2"/>
      <c r="D564" s="3"/>
      <c r="E564" s="3"/>
      <c r="F564" s="3"/>
      <c r="G564" s="3"/>
      <c r="H564" s="4"/>
      <c r="I564" s="5"/>
      <c r="J564" s="6"/>
      <c r="K564" s="7"/>
      <c r="L564" s="8"/>
      <c r="M564" s="9"/>
      <c r="N564" s="9"/>
      <c r="O564" s="9"/>
      <c r="P564" s="10"/>
      <c r="Q564" s="11"/>
      <c r="R564" s="11"/>
      <c r="S564" s="11"/>
      <c r="T564" s="11"/>
      <c r="U564" s="11"/>
      <c r="V564" s="11"/>
      <c r="W564" s="11"/>
      <c r="X564" s="11"/>
      <c r="Y564" s="11"/>
      <c r="Z564" s="12"/>
      <c r="AA564" s="12"/>
      <c r="AB564" s="12"/>
      <c r="AC564" s="12"/>
      <c r="AD564" s="12"/>
      <c r="AE564" s="12"/>
      <c r="AF564" s="12"/>
    </row>
    <row r="565" ht="46.5" customHeight="1">
      <c r="A565" s="1"/>
      <c r="B565" s="2"/>
      <c r="C565" s="2"/>
      <c r="D565" s="3"/>
      <c r="E565" s="3"/>
      <c r="F565" s="3"/>
      <c r="G565" s="3"/>
      <c r="H565" s="4"/>
      <c r="I565" s="5"/>
      <c r="J565" s="6"/>
      <c r="K565" s="7"/>
      <c r="L565" s="8"/>
      <c r="M565" s="9"/>
      <c r="N565" s="9"/>
      <c r="O565" s="9"/>
      <c r="P565" s="10"/>
      <c r="Q565" s="11"/>
      <c r="R565" s="11"/>
      <c r="S565" s="11"/>
      <c r="T565" s="11"/>
      <c r="U565" s="11"/>
      <c r="V565" s="11"/>
      <c r="W565" s="11"/>
      <c r="X565" s="11"/>
      <c r="Y565" s="11"/>
      <c r="Z565" s="12"/>
      <c r="AA565" s="12"/>
      <c r="AB565" s="12"/>
      <c r="AC565" s="12"/>
      <c r="AD565" s="12"/>
      <c r="AE565" s="12"/>
      <c r="AF565" s="12"/>
    </row>
    <row r="566" ht="46.5" customHeight="1">
      <c r="A566" s="1"/>
      <c r="B566" s="2"/>
      <c r="C566" s="2"/>
      <c r="D566" s="3"/>
      <c r="E566" s="3"/>
      <c r="F566" s="3"/>
      <c r="G566" s="3"/>
      <c r="H566" s="4"/>
      <c r="I566" s="5"/>
      <c r="J566" s="6"/>
      <c r="K566" s="7"/>
      <c r="L566" s="8"/>
      <c r="M566" s="9"/>
      <c r="N566" s="9"/>
      <c r="O566" s="9"/>
      <c r="P566" s="10"/>
      <c r="Q566" s="11"/>
      <c r="R566" s="11"/>
      <c r="S566" s="11"/>
      <c r="T566" s="11"/>
      <c r="U566" s="11"/>
      <c r="V566" s="11"/>
      <c r="W566" s="11"/>
      <c r="X566" s="11"/>
      <c r="Y566" s="11"/>
      <c r="Z566" s="12"/>
      <c r="AA566" s="12"/>
      <c r="AB566" s="12"/>
      <c r="AC566" s="12"/>
      <c r="AD566" s="12"/>
      <c r="AE566" s="12"/>
      <c r="AF566" s="12"/>
    </row>
    <row r="567" ht="46.5" customHeight="1">
      <c r="A567" s="1"/>
      <c r="B567" s="2"/>
      <c r="C567" s="2"/>
      <c r="D567" s="3"/>
      <c r="E567" s="3"/>
      <c r="F567" s="3"/>
      <c r="G567" s="3"/>
      <c r="H567" s="4"/>
      <c r="I567" s="5"/>
      <c r="J567" s="6"/>
      <c r="K567" s="7"/>
      <c r="L567" s="8"/>
      <c r="M567" s="9"/>
      <c r="N567" s="9"/>
      <c r="O567" s="9"/>
      <c r="P567" s="10"/>
      <c r="Q567" s="11"/>
      <c r="R567" s="11"/>
      <c r="S567" s="11"/>
      <c r="T567" s="11"/>
      <c r="U567" s="11"/>
      <c r="V567" s="11"/>
      <c r="W567" s="11"/>
      <c r="X567" s="11"/>
      <c r="Y567" s="11"/>
      <c r="Z567" s="12"/>
      <c r="AA567" s="12"/>
      <c r="AB567" s="12"/>
      <c r="AC567" s="12"/>
      <c r="AD567" s="12"/>
      <c r="AE567" s="12"/>
      <c r="AF567" s="12"/>
    </row>
    <row r="568" ht="46.5" customHeight="1">
      <c r="A568" s="1"/>
      <c r="B568" s="2"/>
      <c r="C568" s="2"/>
      <c r="D568" s="3"/>
      <c r="E568" s="3"/>
      <c r="F568" s="3"/>
      <c r="G568" s="3"/>
      <c r="H568" s="4"/>
      <c r="I568" s="5"/>
      <c r="J568" s="6"/>
      <c r="K568" s="7"/>
      <c r="L568" s="8"/>
      <c r="M568" s="9"/>
      <c r="N568" s="9"/>
      <c r="O568" s="9"/>
      <c r="P568" s="10"/>
      <c r="Q568" s="11"/>
      <c r="R568" s="11"/>
      <c r="S568" s="11"/>
      <c r="T568" s="11"/>
      <c r="U568" s="11"/>
      <c r="V568" s="11"/>
      <c r="W568" s="11"/>
      <c r="X568" s="11"/>
      <c r="Y568" s="11"/>
      <c r="Z568" s="12"/>
      <c r="AA568" s="12"/>
      <c r="AB568" s="12"/>
      <c r="AC568" s="12"/>
      <c r="AD568" s="12"/>
      <c r="AE568" s="12"/>
      <c r="AF568" s="12"/>
    </row>
    <row r="569" ht="46.5" customHeight="1">
      <c r="A569" s="1"/>
      <c r="B569" s="2"/>
      <c r="C569" s="2"/>
      <c r="D569" s="3"/>
      <c r="E569" s="3"/>
      <c r="F569" s="3"/>
      <c r="G569" s="3"/>
      <c r="H569" s="4"/>
      <c r="I569" s="5"/>
      <c r="J569" s="6"/>
      <c r="K569" s="7"/>
      <c r="L569" s="8"/>
      <c r="M569" s="9"/>
      <c r="N569" s="9"/>
      <c r="O569" s="9"/>
      <c r="P569" s="10"/>
      <c r="Q569" s="11"/>
      <c r="R569" s="11"/>
      <c r="S569" s="11"/>
      <c r="T569" s="11"/>
      <c r="U569" s="11"/>
      <c r="V569" s="11"/>
      <c r="W569" s="11"/>
      <c r="X569" s="11"/>
      <c r="Y569" s="11"/>
      <c r="Z569" s="12"/>
      <c r="AA569" s="12"/>
      <c r="AB569" s="12"/>
      <c r="AC569" s="12"/>
      <c r="AD569" s="12"/>
      <c r="AE569" s="12"/>
      <c r="AF569" s="12"/>
    </row>
    <row r="570" ht="46.5" customHeight="1">
      <c r="A570" s="1"/>
      <c r="B570" s="2"/>
      <c r="C570" s="2"/>
      <c r="D570" s="3"/>
      <c r="E570" s="3"/>
      <c r="F570" s="3"/>
      <c r="G570" s="3"/>
      <c r="H570" s="4"/>
      <c r="I570" s="5"/>
      <c r="J570" s="6"/>
      <c r="K570" s="7"/>
      <c r="L570" s="8"/>
      <c r="M570" s="9"/>
      <c r="N570" s="9"/>
      <c r="O570" s="9"/>
      <c r="P570" s="10"/>
      <c r="Q570" s="11"/>
      <c r="R570" s="11"/>
      <c r="S570" s="11"/>
      <c r="T570" s="11"/>
      <c r="U570" s="11"/>
      <c r="V570" s="11"/>
      <c r="W570" s="11"/>
      <c r="X570" s="11"/>
      <c r="Y570" s="11"/>
      <c r="Z570" s="12"/>
      <c r="AA570" s="12"/>
      <c r="AB570" s="12"/>
      <c r="AC570" s="12"/>
      <c r="AD570" s="12"/>
      <c r="AE570" s="12"/>
      <c r="AF570" s="12"/>
    </row>
    <row r="571" ht="46.5" customHeight="1">
      <c r="A571" s="1"/>
      <c r="B571" s="2"/>
      <c r="C571" s="2"/>
      <c r="D571" s="3"/>
      <c r="E571" s="3"/>
      <c r="F571" s="3"/>
      <c r="G571" s="3"/>
      <c r="H571" s="4"/>
      <c r="I571" s="5"/>
      <c r="J571" s="6"/>
      <c r="K571" s="7"/>
      <c r="L571" s="8"/>
      <c r="M571" s="9"/>
      <c r="N571" s="9"/>
      <c r="O571" s="9"/>
      <c r="P571" s="10"/>
      <c r="Q571" s="11"/>
      <c r="R571" s="11"/>
      <c r="S571" s="11"/>
      <c r="T571" s="11"/>
      <c r="U571" s="11"/>
      <c r="V571" s="11"/>
      <c r="W571" s="11"/>
      <c r="X571" s="11"/>
      <c r="Y571" s="11"/>
      <c r="Z571" s="12"/>
      <c r="AA571" s="12"/>
      <c r="AB571" s="12"/>
      <c r="AC571" s="12"/>
      <c r="AD571" s="12"/>
      <c r="AE571" s="12"/>
      <c r="AF571" s="12"/>
    </row>
    <row r="572" ht="46.5" customHeight="1">
      <c r="A572" s="1"/>
      <c r="B572" s="2"/>
      <c r="C572" s="2"/>
      <c r="D572" s="3"/>
      <c r="E572" s="3"/>
      <c r="F572" s="3"/>
      <c r="G572" s="3"/>
      <c r="H572" s="4"/>
      <c r="I572" s="5"/>
      <c r="J572" s="6"/>
      <c r="K572" s="7"/>
      <c r="L572" s="8"/>
      <c r="M572" s="9"/>
      <c r="N572" s="9"/>
      <c r="O572" s="9"/>
      <c r="P572" s="10"/>
      <c r="Q572" s="11"/>
      <c r="R572" s="11"/>
      <c r="S572" s="11"/>
      <c r="T572" s="11"/>
      <c r="U572" s="11"/>
      <c r="V572" s="11"/>
      <c r="W572" s="11"/>
      <c r="X572" s="11"/>
      <c r="Y572" s="11"/>
      <c r="Z572" s="12"/>
      <c r="AA572" s="12"/>
      <c r="AB572" s="12"/>
      <c r="AC572" s="12"/>
      <c r="AD572" s="12"/>
      <c r="AE572" s="12"/>
      <c r="AF572" s="12"/>
    </row>
    <row r="573" ht="46.5" customHeight="1">
      <c r="A573" s="1"/>
      <c r="B573" s="2"/>
      <c r="C573" s="2"/>
      <c r="D573" s="3"/>
      <c r="E573" s="3"/>
      <c r="F573" s="3"/>
      <c r="G573" s="3"/>
      <c r="H573" s="4"/>
      <c r="I573" s="5"/>
      <c r="J573" s="6"/>
      <c r="K573" s="7"/>
      <c r="L573" s="8"/>
      <c r="M573" s="9"/>
      <c r="N573" s="9"/>
      <c r="O573" s="9"/>
      <c r="P573" s="10"/>
      <c r="Q573" s="11"/>
      <c r="R573" s="11"/>
      <c r="S573" s="11"/>
      <c r="T573" s="11"/>
      <c r="U573" s="11"/>
      <c r="V573" s="11"/>
      <c r="W573" s="11"/>
      <c r="X573" s="11"/>
      <c r="Y573" s="11"/>
      <c r="Z573" s="12"/>
      <c r="AA573" s="12"/>
      <c r="AB573" s="12"/>
      <c r="AC573" s="12"/>
      <c r="AD573" s="12"/>
      <c r="AE573" s="12"/>
      <c r="AF573" s="12"/>
    </row>
    <row r="574" ht="46.5" customHeight="1">
      <c r="A574" s="1"/>
      <c r="B574" s="2"/>
      <c r="C574" s="2"/>
      <c r="D574" s="3"/>
      <c r="E574" s="3"/>
      <c r="F574" s="3"/>
      <c r="G574" s="3"/>
      <c r="H574" s="4"/>
      <c r="I574" s="5"/>
      <c r="J574" s="6"/>
      <c r="K574" s="7"/>
      <c r="L574" s="8"/>
      <c r="M574" s="9"/>
      <c r="N574" s="9"/>
      <c r="O574" s="9"/>
      <c r="P574" s="10"/>
      <c r="Q574" s="11"/>
      <c r="R574" s="11"/>
      <c r="S574" s="11"/>
      <c r="T574" s="11"/>
      <c r="U574" s="11"/>
      <c r="V574" s="11"/>
      <c r="W574" s="11"/>
      <c r="X574" s="11"/>
      <c r="Y574" s="11"/>
      <c r="Z574" s="12"/>
      <c r="AA574" s="12"/>
      <c r="AB574" s="12"/>
      <c r="AC574" s="12"/>
      <c r="AD574" s="12"/>
      <c r="AE574" s="12"/>
      <c r="AF574" s="12"/>
    </row>
    <row r="575" ht="46.5" customHeight="1">
      <c r="A575" s="1"/>
      <c r="B575" s="2"/>
      <c r="C575" s="2"/>
      <c r="D575" s="3"/>
      <c r="E575" s="3"/>
      <c r="F575" s="3"/>
      <c r="G575" s="3"/>
      <c r="H575" s="4"/>
      <c r="I575" s="5"/>
      <c r="J575" s="6"/>
      <c r="K575" s="7"/>
      <c r="L575" s="8"/>
      <c r="M575" s="9"/>
      <c r="N575" s="9"/>
      <c r="O575" s="9"/>
      <c r="P575" s="10"/>
      <c r="Q575" s="11"/>
      <c r="R575" s="11"/>
      <c r="S575" s="11"/>
      <c r="T575" s="11"/>
      <c r="U575" s="11"/>
      <c r="V575" s="11"/>
      <c r="W575" s="11"/>
      <c r="X575" s="11"/>
      <c r="Y575" s="11"/>
      <c r="Z575" s="12"/>
      <c r="AA575" s="12"/>
      <c r="AB575" s="12"/>
      <c r="AC575" s="12"/>
      <c r="AD575" s="12"/>
      <c r="AE575" s="12"/>
      <c r="AF575" s="12"/>
    </row>
    <row r="576" ht="46.5" customHeight="1">
      <c r="A576" s="1"/>
      <c r="B576" s="2"/>
      <c r="C576" s="2"/>
      <c r="D576" s="3"/>
      <c r="E576" s="3"/>
      <c r="F576" s="3"/>
      <c r="G576" s="3"/>
      <c r="H576" s="4"/>
      <c r="I576" s="5"/>
      <c r="J576" s="6"/>
      <c r="K576" s="7"/>
      <c r="L576" s="8"/>
      <c r="M576" s="9"/>
      <c r="N576" s="9"/>
      <c r="O576" s="9"/>
      <c r="P576" s="10"/>
      <c r="Q576" s="11"/>
      <c r="R576" s="11"/>
      <c r="S576" s="11"/>
      <c r="T576" s="11"/>
      <c r="U576" s="11"/>
      <c r="V576" s="11"/>
      <c r="W576" s="11"/>
      <c r="X576" s="11"/>
      <c r="Y576" s="11"/>
      <c r="Z576" s="12"/>
      <c r="AA576" s="12"/>
      <c r="AB576" s="12"/>
      <c r="AC576" s="12"/>
      <c r="AD576" s="12"/>
      <c r="AE576" s="12"/>
      <c r="AF576" s="12"/>
    </row>
    <row r="577" ht="46.5" customHeight="1">
      <c r="A577" s="1"/>
      <c r="B577" s="2"/>
      <c r="C577" s="2"/>
      <c r="D577" s="3"/>
      <c r="E577" s="3"/>
      <c r="F577" s="3"/>
      <c r="G577" s="3"/>
      <c r="H577" s="4"/>
      <c r="I577" s="5"/>
      <c r="J577" s="6"/>
      <c r="K577" s="7"/>
      <c r="L577" s="8"/>
      <c r="M577" s="9"/>
      <c r="N577" s="9"/>
      <c r="O577" s="9"/>
      <c r="P577" s="10"/>
      <c r="Q577" s="11"/>
      <c r="R577" s="11"/>
      <c r="S577" s="11"/>
      <c r="T577" s="11"/>
      <c r="U577" s="11"/>
      <c r="V577" s="11"/>
      <c r="W577" s="11"/>
      <c r="X577" s="11"/>
      <c r="Y577" s="11"/>
      <c r="Z577" s="12"/>
      <c r="AA577" s="12"/>
      <c r="AB577" s="12"/>
      <c r="AC577" s="12"/>
      <c r="AD577" s="12"/>
      <c r="AE577" s="12"/>
      <c r="AF577" s="12"/>
    </row>
    <row r="578" ht="46.5" customHeight="1">
      <c r="A578" s="1"/>
      <c r="B578" s="2"/>
      <c r="C578" s="2"/>
      <c r="D578" s="3"/>
      <c r="E578" s="3"/>
      <c r="F578" s="3"/>
      <c r="G578" s="3"/>
      <c r="H578" s="4"/>
      <c r="I578" s="5"/>
      <c r="J578" s="6"/>
      <c r="K578" s="7"/>
      <c r="L578" s="8"/>
      <c r="M578" s="9"/>
      <c r="N578" s="9"/>
      <c r="O578" s="9"/>
      <c r="P578" s="10"/>
      <c r="Q578" s="11"/>
      <c r="R578" s="11"/>
      <c r="S578" s="11"/>
      <c r="T578" s="11"/>
      <c r="U578" s="11"/>
      <c r="V578" s="11"/>
      <c r="W578" s="11"/>
      <c r="X578" s="11"/>
      <c r="Y578" s="11"/>
      <c r="Z578" s="12"/>
      <c r="AA578" s="12"/>
      <c r="AB578" s="12"/>
      <c r="AC578" s="12"/>
      <c r="AD578" s="12"/>
      <c r="AE578" s="12"/>
      <c r="AF578" s="12"/>
    </row>
    <row r="579" ht="46.5" customHeight="1">
      <c r="A579" s="1"/>
      <c r="B579" s="2"/>
      <c r="C579" s="2"/>
      <c r="D579" s="3"/>
      <c r="E579" s="3"/>
      <c r="F579" s="3"/>
      <c r="G579" s="3"/>
      <c r="H579" s="4"/>
      <c r="I579" s="5"/>
      <c r="J579" s="6"/>
      <c r="K579" s="7"/>
      <c r="L579" s="8"/>
      <c r="M579" s="9"/>
      <c r="N579" s="9"/>
      <c r="O579" s="9"/>
      <c r="P579" s="10"/>
      <c r="Q579" s="11"/>
      <c r="R579" s="11"/>
      <c r="S579" s="11"/>
      <c r="T579" s="11"/>
      <c r="U579" s="11"/>
      <c r="V579" s="11"/>
      <c r="W579" s="11"/>
      <c r="X579" s="11"/>
      <c r="Y579" s="11"/>
      <c r="Z579" s="12"/>
      <c r="AA579" s="12"/>
      <c r="AB579" s="12"/>
      <c r="AC579" s="12"/>
      <c r="AD579" s="12"/>
      <c r="AE579" s="12"/>
      <c r="AF579" s="12"/>
    </row>
    <row r="580" ht="46.5" customHeight="1">
      <c r="A580" s="1"/>
      <c r="B580" s="2"/>
      <c r="C580" s="2"/>
      <c r="D580" s="3"/>
      <c r="E580" s="3"/>
      <c r="F580" s="3"/>
      <c r="G580" s="3"/>
      <c r="H580" s="4"/>
      <c r="I580" s="5"/>
      <c r="J580" s="6"/>
      <c r="K580" s="7"/>
      <c r="L580" s="8"/>
      <c r="M580" s="9"/>
      <c r="N580" s="9"/>
      <c r="O580" s="9"/>
      <c r="P580" s="10"/>
      <c r="Q580" s="11"/>
      <c r="R580" s="11"/>
      <c r="S580" s="11"/>
      <c r="T580" s="11"/>
      <c r="U580" s="11"/>
      <c r="V580" s="11"/>
      <c r="W580" s="11"/>
      <c r="X580" s="11"/>
      <c r="Y580" s="11"/>
      <c r="Z580" s="12"/>
      <c r="AA580" s="12"/>
      <c r="AB580" s="12"/>
      <c r="AC580" s="12"/>
      <c r="AD580" s="12"/>
      <c r="AE580" s="12"/>
      <c r="AF580" s="12"/>
    </row>
    <row r="581" ht="46.5" customHeight="1">
      <c r="A581" s="1"/>
      <c r="B581" s="2"/>
      <c r="C581" s="2"/>
      <c r="D581" s="3"/>
      <c r="E581" s="3"/>
      <c r="F581" s="3"/>
      <c r="G581" s="3"/>
      <c r="H581" s="4"/>
      <c r="I581" s="5"/>
      <c r="J581" s="6"/>
      <c r="K581" s="7"/>
      <c r="L581" s="8"/>
      <c r="M581" s="9"/>
      <c r="N581" s="9"/>
      <c r="O581" s="9"/>
      <c r="P581" s="10"/>
      <c r="Q581" s="11"/>
      <c r="R581" s="11"/>
      <c r="S581" s="11"/>
      <c r="T581" s="11"/>
      <c r="U581" s="11"/>
      <c r="V581" s="11"/>
      <c r="W581" s="11"/>
      <c r="X581" s="11"/>
      <c r="Y581" s="11"/>
      <c r="Z581" s="12"/>
      <c r="AA581" s="12"/>
      <c r="AB581" s="12"/>
      <c r="AC581" s="12"/>
      <c r="AD581" s="12"/>
      <c r="AE581" s="12"/>
      <c r="AF581" s="12"/>
    </row>
    <row r="582" ht="46.5" customHeight="1">
      <c r="A582" s="1"/>
      <c r="B582" s="2"/>
      <c r="C582" s="2"/>
      <c r="D582" s="3"/>
      <c r="E582" s="3"/>
      <c r="F582" s="3"/>
      <c r="G582" s="3"/>
      <c r="H582" s="4"/>
      <c r="I582" s="5"/>
      <c r="J582" s="6"/>
      <c r="K582" s="7"/>
      <c r="L582" s="8"/>
      <c r="M582" s="9"/>
      <c r="N582" s="9"/>
      <c r="O582" s="9"/>
      <c r="P582" s="10"/>
      <c r="Q582" s="11"/>
      <c r="R582" s="11"/>
      <c r="S582" s="11"/>
      <c r="T582" s="11"/>
      <c r="U582" s="11"/>
      <c r="V582" s="11"/>
      <c r="W582" s="11"/>
      <c r="X582" s="11"/>
      <c r="Y582" s="11"/>
      <c r="Z582" s="12"/>
      <c r="AA582" s="12"/>
      <c r="AB582" s="12"/>
      <c r="AC582" s="12"/>
      <c r="AD582" s="12"/>
      <c r="AE582" s="12"/>
      <c r="AF582" s="12"/>
    </row>
    <row r="583" ht="46.5" customHeight="1">
      <c r="A583" s="1"/>
      <c r="B583" s="2"/>
      <c r="C583" s="2"/>
      <c r="D583" s="3"/>
      <c r="E583" s="3"/>
      <c r="F583" s="3"/>
      <c r="G583" s="3"/>
      <c r="H583" s="4"/>
      <c r="I583" s="5"/>
      <c r="J583" s="6"/>
      <c r="K583" s="7"/>
      <c r="L583" s="8"/>
      <c r="M583" s="9"/>
      <c r="N583" s="9"/>
      <c r="O583" s="9"/>
      <c r="P583" s="10"/>
      <c r="Q583" s="11"/>
      <c r="R583" s="11"/>
      <c r="S583" s="11"/>
      <c r="T583" s="11"/>
      <c r="U583" s="11"/>
      <c r="V583" s="11"/>
      <c r="W583" s="11"/>
      <c r="X583" s="11"/>
      <c r="Y583" s="11"/>
      <c r="Z583" s="12"/>
      <c r="AA583" s="12"/>
      <c r="AB583" s="12"/>
      <c r="AC583" s="12"/>
      <c r="AD583" s="12"/>
      <c r="AE583" s="12"/>
      <c r="AF583" s="12"/>
    </row>
    <row r="584" ht="46.5" customHeight="1">
      <c r="A584" s="1"/>
      <c r="B584" s="2"/>
      <c r="C584" s="2"/>
      <c r="D584" s="3"/>
      <c r="E584" s="3"/>
      <c r="F584" s="3"/>
      <c r="G584" s="3"/>
      <c r="H584" s="4"/>
      <c r="I584" s="5"/>
      <c r="J584" s="6"/>
      <c r="K584" s="7"/>
      <c r="L584" s="8"/>
      <c r="M584" s="9"/>
      <c r="N584" s="9"/>
      <c r="O584" s="9"/>
      <c r="P584" s="10"/>
      <c r="Q584" s="11"/>
      <c r="R584" s="11"/>
      <c r="S584" s="11"/>
      <c r="T584" s="11"/>
      <c r="U584" s="11"/>
      <c r="V584" s="11"/>
      <c r="W584" s="11"/>
      <c r="X584" s="11"/>
      <c r="Y584" s="11"/>
      <c r="Z584" s="12"/>
      <c r="AA584" s="12"/>
      <c r="AB584" s="12"/>
      <c r="AC584" s="12"/>
      <c r="AD584" s="12"/>
      <c r="AE584" s="12"/>
      <c r="AF584" s="12"/>
    </row>
    <row r="585" ht="46.5" customHeight="1">
      <c r="A585" s="1"/>
      <c r="B585" s="2"/>
      <c r="C585" s="2"/>
      <c r="D585" s="3"/>
      <c r="E585" s="3"/>
      <c r="F585" s="3"/>
      <c r="G585" s="3"/>
      <c r="H585" s="4"/>
      <c r="I585" s="5"/>
      <c r="J585" s="6"/>
      <c r="K585" s="7"/>
      <c r="L585" s="8"/>
      <c r="M585" s="9"/>
      <c r="N585" s="9"/>
      <c r="O585" s="9"/>
      <c r="P585" s="10"/>
      <c r="Q585" s="11"/>
      <c r="R585" s="11"/>
      <c r="S585" s="11"/>
      <c r="T585" s="11"/>
      <c r="U585" s="11"/>
      <c r="V585" s="11"/>
      <c r="W585" s="11"/>
      <c r="X585" s="11"/>
      <c r="Y585" s="11"/>
      <c r="Z585" s="12"/>
      <c r="AA585" s="12"/>
      <c r="AB585" s="12"/>
      <c r="AC585" s="12"/>
      <c r="AD585" s="12"/>
      <c r="AE585" s="12"/>
      <c r="AF585" s="12"/>
    </row>
    <row r="586" ht="46.5" customHeight="1">
      <c r="A586" s="1"/>
      <c r="B586" s="2"/>
      <c r="C586" s="2"/>
      <c r="D586" s="3"/>
      <c r="E586" s="3"/>
      <c r="F586" s="3"/>
      <c r="G586" s="3"/>
      <c r="H586" s="4"/>
      <c r="I586" s="5"/>
      <c r="J586" s="6"/>
      <c r="K586" s="7"/>
      <c r="L586" s="8"/>
      <c r="M586" s="9"/>
      <c r="N586" s="9"/>
      <c r="O586" s="9"/>
      <c r="P586" s="10"/>
      <c r="Q586" s="11"/>
      <c r="R586" s="11"/>
      <c r="S586" s="11"/>
      <c r="T586" s="11"/>
      <c r="U586" s="11"/>
      <c r="V586" s="11"/>
      <c r="W586" s="11"/>
      <c r="X586" s="11"/>
      <c r="Y586" s="11"/>
      <c r="Z586" s="12"/>
      <c r="AA586" s="12"/>
      <c r="AB586" s="12"/>
      <c r="AC586" s="12"/>
      <c r="AD586" s="12"/>
      <c r="AE586" s="12"/>
      <c r="AF586" s="12"/>
    </row>
    <row r="587" ht="46.5" customHeight="1">
      <c r="A587" s="1"/>
      <c r="B587" s="2"/>
      <c r="C587" s="2"/>
      <c r="D587" s="3"/>
      <c r="E587" s="3"/>
      <c r="F587" s="3"/>
      <c r="G587" s="3"/>
      <c r="H587" s="4"/>
      <c r="I587" s="5"/>
      <c r="J587" s="6"/>
      <c r="K587" s="7"/>
      <c r="L587" s="8"/>
      <c r="M587" s="9"/>
      <c r="N587" s="9"/>
      <c r="O587" s="9"/>
      <c r="P587" s="10"/>
      <c r="Q587" s="11"/>
      <c r="R587" s="11"/>
      <c r="S587" s="11"/>
      <c r="T587" s="11"/>
      <c r="U587" s="11"/>
      <c r="V587" s="11"/>
      <c r="W587" s="11"/>
      <c r="X587" s="11"/>
      <c r="Y587" s="11"/>
      <c r="Z587" s="12"/>
      <c r="AA587" s="12"/>
      <c r="AB587" s="12"/>
      <c r="AC587" s="12"/>
      <c r="AD587" s="12"/>
      <c r="AE587" s="12"/>
      <c r="AF587" s="12"/>
    </row>
    <row r="588" ht="46.5" customHeight="1">
      <c r="A588" s="1"/>
      <c r="B588" s="2"/>
      <c r="C588" s="2"/>
      <c r="D588" s="3"/>
      <c r="E588" s="3"/>
      <c r="F588" s="3"/>
      <c r="G588" s="3"/>
      <c r="H588" s="4"/>
      <c r="I588" s="5"/>
      <c r="J588" s="6"/>
      <c r="K588" s="7"/>
      <c r="L588" s="8"/>
      <c r="M588" s="9"/>
      <c r="N588" s="9"/>
      <c r="O588" s="9"/>
      <c r="P588" s="10"/>
      <c r="Q588" s="11"/>
      <c r="R588" s="11"/>
      <c r="S588" s="11"/>
      <c r="T588" s="11"/>
      <c r="U588" s="11"/>
      <c r="V588" s="11"/>
      <c r="W588" s="11"/>
      <c r="X588" s="11"/>
      <c r="Y588" s="11"/>
      <c r="Z588" s="12"/>
      <c r="AA588" s="12"/>
      <c r="AB588" s="12"/>
      <c r="AC588" s="12"/>
      <c r="AD588" s="12"/>
      <c r="AE588" s="12"/>
      <c r="AF588" s="12"/>
    </row>
    <row r="589" ht="46.5" customHeight="1">
      <c r="A589" s="1"/>
      <c r="B589" s="2"/>
      <c r="C589" s="2"/>
      <c r="D589" s="3"/>
      <c r="E589" s="3"/>
      <c r="F589" s="3"/>
      <c r="G589" s="3"/>
      <c r="H589" s="4"/>
      <c r="I589" s="5"/>
      <c r="J589" s="6"/>
      <c r="K589" s="7"/>
      <c r="L589" s="8"/>
      <c r="M589" s="9"/>
      <c r="N589" s="9"/>
      <c r="O589" s="9"/>
      <c r="P589" s="10"/>
      <c r="Q589" s="11"/>
      <c r="R589" s="11"/>
      <c r="S589" s="11"/>
      <c r="T589" s="11"/>
      <c r="U589" s="11"/>
      <c r="V589" s="11"/>
      <c r="W589" s="11"/>
      <c r="X589" s="11"/>
      <c r="Y589" s="11"/>
      <c r="Z589" s="12"/>
      <c r="AA589" s="12"/>
      <c r="AB589" s="12"/>
      <c r="AC589" s="12"/>
      <c r="AD589" s="12"/>
      <c r="AE589" s="12"/>
      <c r="AF589" s="12"/>
    </row>
    <row r="590" ht="46.5" customHeight="1">
      <c r="A590" s="1"/>
      <c r="B590" s="2"/>
      <c r="C590" s="2"/>
      <c r="D590" s="3"/>
      <c r="E590" s="3"/>
      <c r="F590" s="3"/>
      <c r="G590" s="3"/>
      <c r="H590" s="4"/>
      <c r="I590" s="5"/>
      <c r="J590" s="6"/>
      <c r="K590" s="7"/>
      <c r="L590" s="8"/>
      <c r="M590" s="9"/>
      <c r="N590" s="9"/>
      <c r="O590" s="9"/>
      <c r="P590" s="10"/>
      <c r="Q590" s="11"/>
      <c r="R590" s="11"/>
      <c r="S590" s="11"/>
      <c r="T590" s="11"/>
      <c r="U590" s="11"/>
      <c r="V590" s="11"/>
      <c r="W590" s="11"/>
      <c r="X590" s="11"/>
      <c r="Y590" s="11"/>
      <c r="Z590" s="12"/>
      <c r="AA590" s="12"/>
      <c r="AB590" s="12"/>
      <c r="AC590" s="12"/>
      <c r="AD590" s="12"/>
      <c r="AE590" s="12"/>
      <c r="AF590" s="12"/>
    </row>
    <row r="591" ht="46.5" customHeight="1">
      <c r="A591" s="1"/>
      <c r="B591" s="2"/>
      <c r="C591" s="2"/>
      <c r="D591" s="3"/>
      <c r="E591" s="3"/>
      <c r="F591" s="3"/>
      <c r="G591" s="3"/>
      <c r="H591" s="4"/>
      <c r="I591" s="5"/>
      <c r="J591" s="6"/>
      <c r="K591" s="7"/>
      <c r="L591" s="8"/>
      <c r="M591" s="9"/>
      <c r="N591" s="9"/>
      <c r="O591" s="9"/>
      <c r="P591" s="10"/>
      <c r="Q591" s="11"/>
      <c r="R591" s="11"/>
      <c r="S591" s="11"/>
      <c r="T591" s="11"/>
      <c r="U591" s="11"/>
      <c r="V591" s="11"/>
      <c r="W591" s="11"/>
      <c r="X591" s="11"/>
      <c r="Y591" s="11"/>
      <c r="Z591" s="12"/>
      <c r="AA591" s="12"/>
      <c r="AB591" s="12"/>
      <c r="AC591" s="12"/>
      <c r="AD591" s="12"/>
      <c r="AE591" s="12"/>
      <c r="AF591" s="12"/>
    </row>
    <row r="592" ht="46.5" customHeight="1">
      <c r="A592" s="1"/>
      <c r="B592" s="2"/>
      <c r="C592" s="2"/>
      <c r="D592" s="3"/>
      <c r="E592" s="3"/>
      <c r="F592" s="3"/>
      <c r="G592" s="3"/>
      <c r="H592" s="4"/>
      <c r="I592" s="5"/>
      <c r="J592" s="6"/>
      <c r="K592" s="7"/>
      <c r="L592" s="8"/>
      <c r="M592" s="9"/>
      <c r="N592" s="9"/>
      <c r="O592" s="9"/>
      <c r="P592" s="10"/>
      <c r="Q592" s="11"/>
      <c r="R592" s="11"/>
      <c r="S592" s="11"/>
      <c r="T592" s="11"/>
      <c r="U592" s="11"/>
      <c r="V592" s="11"/>
      <c r="W592" s="11"/>
      <c r="X592" s="11"/>
      <c r="Y592" s="11"/>
      <c r="Z592" s="12"/>
      <c r="AA592" s="12"/>
      <c r="AB592" s="12"/>
      <c r="AC592" s="12"/>
      <c r="AD592" s="12"/>
      <c r="AE592" s="12"/>
      <c r="AF592" s="12"/>
    </row>
    <row r="593" ht="46.5" customHeight="1">
      <c r="A593" s="1"/>
      <c r="B593" s="2"/>
      <c r="C593" s="2"/>
      <c r="D593" s="3"/>
      <c r="E593" s="3"/>
      <c r="F593" s="3"/>
      <c r="G593" s="3"/>
      <c r="H593" s="4"/>
      <c r="I593" s="5"/>
      <c r="J593" s="6"/>
      <c r="K593" s="7"/>
      <c r="L593" s="8"/>
      <c r="M593" s="9"/>
      <c r="N593" s="9"/>
      <c r="O593" s="9"/>
      <c r="P593" s="10"/>
      <c r="Q593" s="11"/>
      <c r="R593" s="11"/>
      <c r="S593" s="11"/>
      <c r="T593" s="11"/>
      <c r="U593" s="11"/>
      <c r="V593" s="11"/>
      <c r="W593" s="11"/>
      <c r="X593" s="11"/>
      <c r="Y593" s="11"/>
      <c r="Z593" s="12"/>
      <c r="AA593" s="12"/>
      <c r="AB593" s="12"/>
      <c r="AC593" s="12"/>
      <c r="AD593" s="12"/>
      <c r="AE593" s="12"/>
      <c r="AF593" s="12"/>
    </row>
    <row r="594" ht="46.5" customHeight="1">
      <c r="A594" s="1"/>
      <c r="B594" s="2"/>
      <c r="C594" s="2"/>
      <c r="D594" s="3"/>
      <c r="E594" s="3"/>
      <c r="F594" s="3"/>
      <c r="G594" s="3"/>
      <c r="H594" s="4"/>
      <c r="I594" s="5"/>
      <c r="J594" s="6"/>
      <c r="K594" s="7"/>
      <c r="L594" s="8"/>
      <c r="M594" s="9"/>
      <c r="N594" s="9"/>
      <c r="O594" s="9"/>
      <c r="P594" s="10"/>
      <c r="Q594" s="11"/>
      <c r="R594" s="11"/>
      <c r="S594" s="11"/>
      <c r="T594" s="11"/>
      <c r="U594" s="11"/>
      <c r="V594" s="11"/>
      <c r="W594" s="11"/>
      <c r="X594" s="11"/>
      <c r="Y594" s="11"/>
      <c r="Z594" s="12"/>
      <c r="AA594" s="12"/>
      <c r="AB594" s="12"/>
      <c r="AC594" s="12"/>
      <c r="AD594" s="12"/>
      <c r="AE594" s="12"/>
      <c r="AF594" s="12"/>
    </row>
    <row r="595" ht="46.5" customHeight="1">
      <c r="A595" s="1"/>
      <c r="B595" s="2"/>
      <c r="C595" s="2"/>
      <c r="D595" s="3"/>
      <c r="E595" s="3"/>
      <c r="F595" s="3"/>
      <c r="G595" s="3"/>
      <c r="H595" s="4"/>
      <c r="I595" s="5"/>
      <c r="J595" s="6"/>
      <c r="K595" s="7"/>
      <c r="L595" s="8"/>
      <c r="M595" s="9"/>
      <c r="N595" s="9"/>
      <c r="O595" s="9"/>
      <c r="P595" s="10"/>
      <c r="Q595" s="11"/>
      <c r="R595" s="11"/>
      <c r="S595" s="11"/>
      <c r="T595" s="11"/>
      <c r="U595" s="11"/>
      <c r="V595" s="11"/>
      <c r="W595" s="11"/>
      <c r="X595" s="11"/>
      <c r="Y595" s="11"/>
      <c r="Z595" s="12"/>
      <c r="AA595" s="12"/>
      <c r="AB595" s="12"/>
      <c r="AC595" s="12"/>
      <c r="AD595" s="12"/>
      <c r="AE595" s="12"/>
      <c r="AF595" s="12"/>
    </row>
    <row r="596" ht="46.5" customHeight="1">
      <c r="A596" s="1"/>
      <c r="B596" s="2"/>
      <c r="C596" s="2"/>
      <c r="D596" s="3"/>
      <c r="E596" s="3"/>
      <c r="F596" s="3"/>
      <c r="G596" s="3"/>
      <c r="H596" s="4"/>
      <c r="I596" s="5"/>
      <c r="J596" s="6"/>
      <c r="K596" s="7"/>
      <c r="L596" s="8"/>
      <c r="M596" s="9"/>
      <c r="N596" s="9"/>
      <c r="O596" s="9"/>
      <c r="P596" s="10"/>
      <c r="Q596" s="11"/>
      <c r="R596" s="11"/>
      <c r="S596" s="11"/>
      <c r="T596" s="11"/>
      <c r="U596" s="11"/>
      <c r="V596" s="11"/>
      <c r="W596" s="11"/>
      <c r="X596" s="11"/>
      <c r="Y596" s="11"/>
      <c r="Z596" s="12"/>
      <c r="AA596" s="12"/>
      <c r="AB596" s="12"/>
      <c r="AC596" s="12"/>
      <c r="AD596" s="12"/>
      <c r="AE596" s="12"/>
      <c r="AF596" s="12"/>
    </row>
    <row r="597" ht="46.5" customHeight="1">
      <c r="A597" s="1"/>
      <c r="B597" s="2"/>
      <c r="C597" s="2"/>
      <c r="D597" s="3"/>
      <c r="E597" s="3"/>
      <c r="F597" s="3"/>
      <c r="G597" s="3"/>
      <c r="H597" s="4"/>
      <c r="I597" s="5"/>
      <c r="J597" s="6"/>
      <c r="K597" s="7"/>
      <c r="L597" s="8"/>
      <c r="M597" s="9"/>
      <c r="N597" s="9"/>
      <c r="O597" s="9"/>
      <c r="P597" s="10"/>
      <c r="Q597" s="11"/>
      <c r="R597" s="11"/>
      <c r="S597" s="11"/>
      <c r="T597" s="11"/>
      <c r="U597" s="11"/>
      <c r="V597" s="11"/>
      <c r="W597" s="11"/>
      <c r="X597" s="11"/>
      <c r="Y597" s="11"/>
      <c r="Z597" s="12"/>
      <c r="AA597" s="12"/>
      <c r="AB597" s="12"/>
      <c r="AC597" s="12"/>
      <c r="AD597" s="12"/>
      <c r="AE597" s="12"/>
      <c r="AF597" s="12"/>
    </row>
    <row r="598" ht="46.5" customHeight="1">
      <c r="A598" s="1"/>
      <c r="B598" s="2"/>
      <c r="C598" s="2"/>
      <c r="D598" s="3"/>
      <c r="E598" s="3"/>
      <c r="F598" s="3"/>
      <c r="G598" s="3"/>
      <c r="H598" s="4"/>
      <c r="I598" s="5"/>
      <c r="J598" s="6"/>
      <c r="K598" s="7"/>
      <c r="L598" s="8"/>
      <c r="M598" s="9"/>
      <c r="N598" s="9"/>
      <c r="O598" s="9"/>
      <c r="P598" s="10"/>
      <c r="Q598" s="11"/>
      <c r="R598" s="11"/>
      <c r="S598" s="11"/>
      <c r="T598" s="11"/>
      <c r="U598" s="11"/>
      <c r="V598" s="11"/>
      <c r="W598" s="11"/>
      <c r="X598" s="11"/>
      <c r="Y598" s="11"/>
      <c r="Z598" s="12"/>
      <c r="AA598" s="12"/>
      <c r="AB598" s="12"/>
      <c r="AC598" s="12"/>
      <c r="AD598" s="12"/>
      <c r="AE598" s="12"/>
      <c r="AF598" s="12"/>
    </row>
    <row r="599" ht="46.5" customHeight="1">
      <c r="A599" s="1"/>
      <c r="B599" s="2"/>
      <c r="C599" s="2"/>
      <c r="D599" s="3"/>
      <c r="E599" s="3"/>
      <c r="F599" s="3"/>
      <c r="G599" s="3"/>
      <c r="H599" s="4"/>
      <c r="I599" s="5"/>
      <c r="J599" s="6"/>
      <c r="K599" s="7"/>
      <c r="L599" s="8"/>
      <c r="M599" s="9"/>
      <c r="N599" s="9"/>
      <c r="O599" s="9"/>
      <c r="P599" s="10"/>
      <c r="Q599" s="11"/>
      <c r="R599" s="11"/>
      <c r="S599" s="11"/>
      <c r="T599" s="11"/>
      <c r="U599" s="11"/>
      <c r="V599" s="11"/>
      <c r="W599" s="11"/>
      <c r="X599" s="11"/>
      <c r="Y599" s="11"/>
      <c r="Z599" s="12"/>
      <c r="AA599" s="12"/>
      <c r="AB599" s="12"/>
      <c r="AC599" s="12"/>
      <c r="AD599" s="12"/>
      <c r="AE599" s="12"/>
      <c r="AF599" s="12"/>
    </row>
    <row r="600" ht="46.5" customHeight="1">
      <c r="A600" s="1"/>
      <c r="B600" s="2"/>
      <c r="C600" s="2"/>
      <c r="D600" s="3"/>
      <c r="E600" s="3"/>
      <c r="F600" s="3"/>
      <c r="G600" s="3"/>
      <c r="H600" s="4"/>
      <c r="I600" s="5"/>
      <c r="J600" s="6"/>
      <c r="K600" s="7"/>
      <c r="L600" s="8"/>
      <c r="M600" s="9"/>
      <c r="N600" s="9"/>
      <c r="O600" s="9"/>
      <c r="P600" s="10"/>
      <c r="Q600" s="11"/>
      <c r="R600" s="11"/>
      <c r="S600" s="11"/>
      <c r="T600" s="11"/>
      <c r="U600" s="11"/>
      <c r="V600" s="11"/>
      <c r="W600" s="11"/>
      <c r="X600" s="11"/>
      <c r="Y600" s="11"/>
      <c r="Z600" s="12"/>
      <c r="AA600" s="12"/>
      <c r="AB600" s="12"/>
      <c r="AC600" s="12"/>
      <c r="AD600" s="12"/>
      <c r="AE600" s="12"/>
      <c r="AF600" s="12"/>
    </row>
    <row r="601" ht="46.5" customHeight="1">
      <c r="A601" s="1"/>
      <c r="B601" s="2"/>
      <c r="C601" s="2"/>
      <c r="D601" s="3"/>
      <c r="E601" s="3"/>
      <c r="F601" s="3"/>
      <c r="G601" s="3"/>
      <c r="H601" s="4"/>
      <c r="I601" s="5"/>
      <c r="J601" s="6"/>
      <c r="K601" s="7"/>
      <c r="L601" s="8"/>
      <c r="M601" s="9"/>
      <c r="N601" s="9"/>
      <c r="O601" s="9"/>
      <c r="P601" s="10"/>
      <c r="Q601" s="11"/>
      <c r="R601" s="11"/>
      <c r="S601" s="11"/>
      <c r="T601" s="11"/>
      <c r="U601" s="11"/>
      <c r="V601" s="11"/>
      <c r="W601" s="11"/>
      <c r="X601" s="11"/>
      <c r="Y601" s="11"/>
      <c r="Z601" s="12"/>
      <c r="AA601" s="12"/>
      <c r="AB601" s="12"/>
      <c r="AC601" s="12"/>
      <c r="AD601" s="12"/>
      <c r="AE601" s="12"/>
      <c r="AF601" s="12"/>
    </row>
    <row r="602" ht="46.5" customHeight="1">
      <c r="A602" s="1"/>
      <c r="B602" s="2"/>
      <c r="C602" s="2"/>
      <c r="D602" s="3"/>
      <c r="E602" s="3"/>
      <c r="F602" s="3"/>
      <c r="G602" s="3"/>
      <c r="H602" s="4"/>
      <c r="I602" s="5"/>
      <c r="J602" s="6"/>
      <c r="K602" s="7"/>
      <c r="L602" s="8"/>
      <c r="M602" s="9"/>
      <c r="N602" s="9"/>
      <c r="O602" s="9"/>
      <c r="P602" s="10"/>
      <c r="Q602" s="11"/>
      <c r="R602" s="11"/>
      <c r="S602" s="11"/>
      <c r="T602" s="11"/>
      <c r="U602" s="11"/>
      <c r="V602" s="11"/>
      <c r="W602" s="11"/>
      <c r="X602" s="11"/>
      <c r="Y602" s="11"/>
      <c r="Z602" s="12"/>
      <c r="AA602" s="12"/>
      <c r="AB602" s="12"/>
      <c r="AC602" s="12"/>
      <c r="AD602" s="12"/>
      <c r="AE602" s="12"/>
      <c r="AF602" s="12"/>
    </row>
    <row r="603" ht="46.5" customHeight="1">
      <c r="A603" s="1"/>
      <c r="B603" s="2"/>
      <c r="C603" s="2"/>
      <c r="D603" s="3"/>
      <c r="E603" s="3"/>
      <c r="F603" s="3"/>
      <c r="G603" s="3"/>
      <c r="H603" s="4"/>
      <c r="I603" s="5"/>
      <c r="J603" s="6"/>
      <c r="K603" s="7"/>
      <c r="L603" s="8"/>
      <c r="M603" s="9"/>
      <c r="N603" s="9"/>
      <c r="O603" s="9"/>
      <c r="P603" s="10"/>
      <c r="Q603" s="11"/>
      <c r="R603" s="11"/>
      <c r="S603" s="11"/>
      <c r="T603" s="11"/>
      <c r="U603" s="11"/>
      <c r="V603" s="11"/>
      <c r="W603" s="11"/>
      <c r="X603" s="11"/>
      <c r="Y603" s="11"/>
      <c r="Z603" s="12"/>
      <c r="AA603" s="12"/>
      <c r="AB603" s="12"/>
      <c r="AC603" s="12"/>
      <c r="AD603" s="12"/>
      <c r="AE603" s="12"/>
      <c r="AF603" s="12"/>
    </row>
    <row r="604" ht="46.5" customHeight="1">
      <c r="A604" s="1"/>
      <c r="B604" s="2"/>
      <c r="C604" s="2"/>
      <c r="D604" s="3"/>
      <c r="E604" s="3"/>
      <c r="F604" s="3"/>
      <c r="G604" s="3"/>
      <c r="H604" s="4"/>
      <c r="I604" s="5"/>
      <c r="J604" s="6"/>
      <c r="K604" s="7"/>
      <c r="L604" s="8"/>
      <c r="M604" s="9"/>
      <c r="N604" s="9"/>
      <c r="O604" s="9"/>
      <c r="P604" s="10"/>
      <c r="Q604" s="11"/>
      <c r="R604" s="11"/>
      <c r="S604" s="11"/>
      <c r="T604" s="11"/>
      <c r="U604" s="11"/>
      <c r="V604" s="11"/>
      <c r="W604" s="11"/>
      <c r="X604" s="11"/>
      <c r="Y604" s="11"/>
      <c r="Z604" s="12"/>
      <c r="AA604" s="12"/>
      <c r="AB604" s="12"/>
      <c r="AC604" s="12"/>
      <c r="AD604" s="12"/>
      <c r="AE604" s="12"/>
      <c r="AF604" s="12"/>
    </row>
    <row r="605" ht="46.5" customHeight="1">
      <c r="A605" s="1"/>
      <c r="B605" s="2"/>
      <c r="C605" s="2"/>
      <c r="D605" s="3"/>
      <c r="E605" s="3"/>
      <c r="F605" s="3"/>
      <c r="G605" s="3"/>
      <c r="H605" s="4"/>
      <c r="I605" s="5"/>
      <c r="J605" s="6"/>
      <c r="K605" s="7"/>
      <c r="L605" s="8"/>
      <c r="M605" s="9"/>
      <c r="N605" s="9"/>
      <c r="O605" s="9"/>
      <c r="P605" s="10"/>
      <c r="Q605" s="11"/>
      <c r="R605" s="11"/>
      <c r="S605" s="11"/>
      <c r="T605" s="11"/>
      <c r="U605" s="11"/>
      <c r="V605" s="11"/>
      <c r="W605" s="11"/>
      <c r="X605" s="11"/>
      <c r="Y605" s="11"/>
      <c r="Z605" s="12"/>
      <c r="AA605" s="12"/>
      <c r="AB605" s="12"/>
      <c r="AC605" s="12"/>
      <c r="AD605" s="12"/>
      <c r="AE605" s="12"/>
      <c r="AF605" s="12"/>
    </row>
    <row r="606" ht="46.5" customHeight="1">
      <c r="A606" s="1"/>
      <c r="B606" s="2"/>
      <c r="C606" s="2"/>
      <c r="D606" s="3"/>
      <c r="E606" s="3"/>
      <c r="F606" s="3"/>
      <c r="G606" s="3"/>
      <c r="H606" s="4"/>
      <c r="I606" s="5"/>
      <c r="J606" s="6"/>
      <c r="K606" s="7"/>
      <c r="L606" s="8"/>
      <c r="M606" s="9"/>
      <c r="N606" s="9"/>
      <c r="O606" s="9"/>
      <c r="P606" s="10"/>
      <c r="Q606" s="11"/>
      <c r="R606" s="11"/>
      <c r="S606" s="11"/>
      <c r="T606" s="11"/>
      <c r="U606" s="11"/>
      <c r="V606" s="11"/>
      <c r="W606" s="11"/>
      <c r="X606" s="11"/>
      <c r="Y606" s="11"/>
      <c r="Z606" s="12"/>
      <c r="AA606" s="12"/>
      <c r="AB606" s="12"/>
      <c r="AC606" s="12"/>
      <c r="AD606" s="12"/>
      <c r="AE606" s="12"/>
      <c r="AF606" s="12"/>
    </row>
    <row r="607" ht="46.5" customHeight="1">
      <c r="A607" s="1"/>
      <c r="B607" s="2"/>
      <c r="C607" s="2"/>
      <c r="D607" s="3"/>
      <c r="E607" s="3"/>
      <c r="F607" s="3"/>
      <c r="G607" s="3"/>
      <c r="H607" s="4"/>
      <c r="I607" s="5"/>
      <c r="J607" s="6"/>
      <c r="K607" s="7"/>
      <c r="L607" s="8"/>
      <c r="M607" s="9"/>
      <c r="N607" s="9"/>
      <c r="O607" s="9"/>
      <c r="P607" s="10"/>
      <c r="Q607" s="11"/>
      <c r="R607" s="11"/>
      <c r="S607" s="11"/>
      <c r="T607" s="11"/>
      <c r="U607" s="11"/>
      <c r="V607" s="11"/>
      <c r="W607" s="11"/>
      <c r="X607" s="11"/>
      <c r="Y607" s="11"/>
      <c r="Z607" s="12"/>
      <c r="AA607" s="12"/>
      <c r="AB607" s="12"/>
      <c r="AC607" s="12"/>
      <c r="AD607" s="12"/>
      <c r="AE607" s="12"/>
      <c r="AF607" s="12"/>
    </row>
    <row r="608" ht="46.5" customHeight="1">
      <c r="A608" s="1"/>
      <c r="B608" s="2"/>
      <c r="C608" s="2"/>
      <c r="D608" s="3"/>
      <c r="E608" s="3"/>
      <c r="F608" s="3"/>
      <c r="G608" s="3"/>
      <c r="H608" s="4"/>
      <c r="I608" s="5"/>
      <c r="J608" s="6"/>
      <c r="K608" s="7"/>
      <c r="L608" s="8"/>
      <c r="M608" s="9"/>
      <c r="N608" s="9"/>
      <c r="O608" s="9"/>
      <c r="P608" s="10"/>
      <c r="Q608" s="11"/>
      <c r="R608" s="11"/>
      <c r="S608" s="11"/>
      <c r="T608" s="11"/>
      <c r="U608" s="11"/>
      <c r="V608" s="11"/>
      <c r="W608" s="11"/>
      <c r="X608" s="11"/>
      <c r="Y608" s="11"/>
      <c r="Z608" s="12"/>
      <c r="AA608" s="12"/>
      <c r="AB608" s="12"/>
      <c r="AC608" s="12"/>
      <c r="AD608" s="12"/>
      <c r="AE608" s="12"/>
      <c r="AF608" s="12"/>
    </row>
    <row r="609" ht="46.5" customHeight="1">
      <c r="A609" s="1"/>
      <c r="B609" s="2"/>
      <c r="C609" s="2"/>
      <c r="D609" s="3"/>
      <c r="E609" s="3"/>
      <c r="F609" s="3"/>
      <c r="G609" s="3"/>
      <c r="H609" s="4"/>
      <c r="I609" s="5"/>
      <c r="J609" s="6"/>
      <c r="K609" s="7"/>
      <c r="L609" s="8"/>
      <c r="M609" s="9"/>
      <c r="N609" s="9"/>
      <c r="O609" s="9"/>
      <c r="P609" s="10"/>
      <c r="Q609" s="11"/>
      <c r="R609" s="11"/>
      <c r="S609" s="11"/>
      <c r="T609" s="11"/>
      <c r="U609" s="11"/>
      <c r="V609" s="11"/>
      <c r="W609" s="11"/>
      <c r="X609" s="11"/>
      <c r="Y609" s="11"/>
      <c r="Z609" s="12"/>
      <c r="AA609" s="12"/>
      <c r="AB609" s="12"/>
      <c r="AC609" s="12"/>
      <c r="AD609" s="12"/>
      <c r="AE609" s="12"/>
      <c r="AF609" s="12"/>
    </row>
    <row r="610" ht="46.5" customHeight="1">
      <c r="A610" s="1"/>
      <c r="B610" s="2"/>
      <c r="C610" s="2"/>
      <c r="D610" s="3"/>
      <c r="E610" s="3"/>
      <c r="F610" s="3"/>
      <c r="G610" s="3"/>
      <c r="H610" s="4"/>
      <c r="I610" s="5"/>
      <c r="J610" s="6"/>
      <c r="K610" s="7"/>
      <c r="L610" s="8"/>
      <c r="M610" s="9"/>
      <c r="N610" s="9"/>
      <c r="O610" s="9"/>
      <c r="P610" s="10"/>
      <c r="Q610" s="11"/>
      <c r="R610" s="11"/>
      <c r="S610" s="11"/>
      <c r="T610" s="11"/>
      <c r="U610" s="11"/>
      <c r="V610" s="11"/>
      <c r="W610" s="11"/>
      <c r="X610" s="11"/>
      <c r="Y610" s="11"/>
      <c r="Z610" s="12"/>
      <c r="AA610" s="12"/>
      <c r="AB610" s="12"/>
      <c r="AC610" s="12"/>
      <c r="AD610" s="12"/>
      <c r="AE610" s="12"/>
      <c r="AF610" s="12"/>
    </row>
    <row r="611" ht="46.5" customHeight="1">
      <c r="A611" s="1"/>
      <c r="B611" s="2"/>
      <c r="C611" s="2"/>
      <c r="D611" s="3"/>
      <c r="E611" s="3"/>
      <c r="F611" s="3"/>
      <c r="G611" s="3"/>
      <c r="H611" s="4"/>
      <c r="I611" s="5"/>
      <c r="J611" s="6"/>
      <c r="K611" s="7"/>
      <c r="L611" s="8"/>
      <c r="M611" s="9"/>
      <c r="N611" s="9"/>
      <c r="O611" s="9"/>
      <c r="P611" s="10"/>
      <c r="Q611" s="11"/>
      <c r="R611" s="11"/>
      <c r="S611" s="11"/>
      <c r="T611" s="11"/>
      <c r="U611" s="11"/>
      <c r="V611" s="11"/>
      <c r="W611" s="11"/>
      <c r="X611" s="11"/>
      <c r="Y611" s="11"/>
      <c r="Z611" s="12"/>
      <c r="AA611" s="12"/>
      <c r="AB611" s="12"/>
      <c r="AC611" s="12"/>
      <c r="AD611" s="12"/>
      <c r="AE611" s="12"/>
      <c r="AF611" s="12"/>
    </row>
    <row r="612" ht="46.5" customHeight="1">
      <c r="A612" s="1"/>
      <c r="B612" s="2"/>
      <c r="C612" s="2"/>
      <c r="D612" s="3"/>
      <c r="E612" s="3"/>
      <c r="F612" s="3"/>
      <c r="G612" s="3"/>
      <c r="H612" s="4"/>
      <c r="I612" s="5"/>
      <c r="J612" s="6"/>
      <c r="K612" s="7"/>
      <c r="L612" s="8"/>
      <c r="M612" s="9"/>
      <c r="N612" s="9"/>
      <c r="O612" s="9"/>
      <c r="P612" s="10"/>
      <c r="Q612" s="11"/>
      <c r="R612" s="11"/>
      <c r="S612" s="11"/>
      <c r="T612" s="11"/>
      <c r="U612" s="11"/>
      <c r="V612" s="11"/>
      <c r="W612" s="11"/>
      <c r="X612" s="11"/>
      <c r="Y612" s="11"/>
      <c r="Z612" s="12"/>
      <c r="AA612" s="12"/>
      <c r="AB612" s="12"/>
      <c r="AC612" s="12"/>
      <c r="AD612" s="12"/>
      <c r="AE612" s="12"/>
      <c r="AF612" s="12"/>
    </row>
    <row r="613" ht="46.5" customHeight="1">
      <c r="A613" s="1"/>
      <c r="B613" s="2"/>
      <c r="C613" s="2"/>
      <c r="D613" s="3"/>
      <c r="E613" s="3"/>
      <c r="F613" s="3"/>
      <c r="G613" s="3"/>
      <c r="H613" s="4"/>
      <c r="I613" s="5"/>
      <c r="J613" s="6"/>
      <c r="K613" s="7"/>
      <c r="L613" s="8"/>
      <c r="M613" s="9"/>
      <c r="N613" s="9"/>
      <c r="O613" s="9"/>
      <c r="P613" s="10"/>
      <c r="Q613" s="11"/>
      <c r="R613" s="11"/>
      <c r="S613" s="11"/>
      <c r="T613" s="11"/>
      <c r="U613" s="11"/>
      <c r="V613" s="11"/>
      <c r="W613" s="11"/>
      <c r="X613" s="11"/>
      <c r="Y613" s="11"/>
      <c r="Z613" s="12"/>
      <c r="AA613" s="12"/>
      <c r="AB613" s="12"/>
      <c r="AC613" s="12"/>
      <c r="AD613" s="12"/>
      <c r="AE613" s="12"/>
      <c r="AF613" s="12"/>
    </row>
    <row r="614" ht="46.5" customHeight="1">
      <c r="A614" s="1"/>
      <c r="B614" s="2"/>
      <c r="C614" s="2"/>
      <c r="D614" s="3"/>
      <c r="E614" s="3"/>
      <c r="F614" s="3"/>
      <c r="G614" s="3"/>
      <c r="H614" s="4"/>
      <c r="I614" s="5"/>
      <c r="J614" s="6"/>
      <c r="K614" s="7"/>
      <c r="L614" s="8"/>
      <c r="M614" s="9"/>
      <c r="N614" s="9"/>
      <c r="O614" s="9"/>
      <c r="P614" s="10"/>
      <c r="Q614" s="11"/>
      <c r="R614" s="11"/>
      <c r="S614" s="11"/>
      <c r="T614" s="11"/>
      <c r="U614" s="11"/>
      <c r="V614" s="11"/>
      <c r="W614" s="11"/>
      <c r="X614" s="11"/>
      <c r="Y614" s="11"/>
      <c r="Z614" s="12"/>
      <c r="AA614" s="12"/>
      <c r="AB614" s="12"/>
      <c r="AC614" s="12"/>
      <c r="AD614" s="12"/>
      <c r="AE614" s="12"/>
      <c r="AF614" s="12"/>
    </row>
    <row r="615" ht="46.5" customHeight="1">
      <c r="A615" s="1"/>
      <c r="B615" s="2"/>
      <c r="C615" s="2"/>
      <c r="D615" s="3"/>
      <c r="E615" s="3"/>
      <c r="F615" s="3"/>
      <c r="G615" s="3"/>
      <c r="H615" s="4"/>
      <c r="I615" s="5"/>
      <c r="J615" s="6"/>
      <c r="K615" s="7"/>
      <c r="L615" s="8"/>
      <c r="M615" s="9"/>
      <c r="N615" s="9"/>
      <c r="O615" s="9"/>
      <c r="P615" s="10"/>
      <c r="Q615" s="11"/>
      <c r="R615" s="11"/>
      <c r="S615" s="11"/>
      <c r="T615" s="11"/>
      <c r="U615" s="11"/>
      <c r="V615" s="11"/>
      <c r="W615" s="11"/>
      <c r="X615" s="11"/>
      <c r="Y615" s="11"/>
      <c r="Z615" s="12"/>
      <c r="AA615" s="12"/>
      <c r="AB615" s="12"/>
      <c r="AC615" s="12"/>
      <c r="AD615" s="12"/>
      <c r="AE615" s="12"/>
      <c r="AF615" s="12"/>
    </row>
    <row r="616" ht="46.5" customHeight="1">
      <c r="A616" s="1"/>
      <c r="B616" s="2"/>
      <c r="C616" s="2"/>
      <c r="D616" s="3"/>
      <c r="E616" s="3"/>
      <c r="F616" s="3"/>
      <c r="G616" s="3"/>
      <c r="H616" s="4"/>
      <c r="I616" s="5"/>
      <c r="J616" s="6"/>
      <c r="K616" s="7"/>
      <c r="L616" s="8"/>
      <c r="M616" s="9"/>
      <c r="N616" s="9"/>
      <c r="O616" s="9"/>
      <c r="P616" s="10"/>
      <c r="Q616" s="11"/>
      <c r="R616" s="11"/>
      <c r="S616" s="11"/>
      <c r="T616" s="11"/>
      <c r="U616" s="11"/>
      <c r="V616" s="11"/>
      <c r="W616" s="11"/>
      <c r="X616" s="11"/>
      <c r="Y616" s="11"/>
      <c r="Z616" s="12"/>
      <c r="AA616" s="12"/>
      <c r="AB616" s="12"/>
      <c r="AC616" s="12"/>
      <c r="AD616" s="12"/>
      <c r="AE616" s="12"/>
      <c r="AF616" s="12"/>
    </row>
    <row r="617" ht="46.5" customHeight="1">
      <c r="A617" s="1"/>
      <c r="B617" s="2"/>
      <c r="C617" s="2"/>
      <c r="D617" s="3"/>
      <c r="E617" s="3"/>
      <c r="F617" s="3"/>
      <c r="G617" s="3"/>
      <c r="H617" s="4"/>
      <c r="I617" s="5"/>
      <c r="J617" s="6"/>
      <c r="K617" s="7"/>
      <c r="L617" s="8"/>
      <c r="M617" s="9"/>
      <c r="N617" s="9"/>
      <c r="O617" s="9"/>
      <c r="P617" s="10"/>
      <c r="Q617" s="11"/>
      <c r="R617" s="11"/>
      <c r="S617" s="11"/>
      <c r="T617" s="11"/>
      <c r="U617" s="11"/>
      <c r="V617" s="11"/>
      <c r="W617" s="11"/>
      <c r="X617" s="11"/>
      <c r="Y617" s="11"/>
      <c r="Z617" s="12"/>
      <c r="AA617" s="12"/>
      <c r="AB617" s="12"/>
      <c r="AC617" s="12"/>
      <c r="AD617" s="12"/>
      <c r="AE617" s="12"/>
      <c r="AF617" s="12"/>
    </row>
    <row r="618" ht="46.5" customHeight="1">
      <c r="A618" s="1"/>
      <c r="B618" s="2"/>
      <c r="C618" s="2"/>
      <c r="D618" s="3"/>
      <c r="E618" s="3"/>
      <c r="F618" s="3"/>
      <c r="G618" s="3"/>
      <c r="H618" s="4"/>
      <c r="I618" s="5"/>
      <c r="J618" s="6"/>
      <c r="K618" s="7"/>
      <c r="L618" s="8"/>
      <c r="M618" s="9"/>
      <c r="N618" s="9"/>
      <c r="O618" s="9"/>
      <c r="P618" s="10"/>
      <c r="Q618" s="11"/>
      <c r="R618" s="11"/>
      <c r="S618" s="11"/>
      <c r="T618" s="11"/>
      <c r="U618" s="11"/>
      <c r="V618" s="11"/>
      <c r="W618" s="11"/>
      <c r="X618" s="11"/>
      <c r="Y618" s="11"/>
      <c r="Z618" s="12"/>
      <c r="AA618" s="12"/>
      <c r="AB618" s="12"/>
      <c r="AC618" s="12"/>
      <c r="AD618" s="12"/>
      <c r="AE618" s="12"/>
      <c r="AF618" s="12"/>
    </row>
    <row r="619" ht="46.5" customHeight="1">
      <c r="A619" s="1"/>
      <c r="B619" s="2"/>
      <c r="C619" s="2"/>
      <c r="D619" s="3"/>
      <c r="E619" s="3"/>
      <c r="F619" s="3"/>
      <c r="G619" s="3"/>
      <c r="H619" s="4"/>
      <c r="I619" s="5"/>
      <c r="J619" s="6"/>
      <c r="K619" s="7"/>
      <c r="L619" s="8"/>
      <c r="M619" s="9"/>
      <c r="N619" s="9"/>
      <c r="O619" s="9"/>
      <c r="P619" s="10"/>
      <c r="Q619" s="11"/>
      <c r="R619" s="11"/>
      <c r="S619" s="11"/>
      <c r="T619" s="11"/>
      <c r="U619" s="11"/>
      <c r="V619" s="11"/>
      <c r="W619" s="11"/>
      <c r="X619" s="11"/>
      <c r="Y619" s="11"/>
      <c r="Z619" s="12"/>
      <c r="AA619" s="12"/>
      <c r="AB619" s="12"/>
      <c r="AC619" s="12"/>
      <c r="AD619" s="12"/>
      <c r="AE619" s="12"/>
      <c r="AF619" s="12"/>
    </row>
    <row r="620" ht="46.5" customHeight="1">
      <c r="A620" s="1"/>
      <c r="B620" s="2"/>
      <c r="C620" s="2"/>
      <c r="D620" s="3"/>
      <c r="E620" s="3"/>
      <c r="F620" s="3"/>
      <c r="G620" s="3"/>
      <c r="H620" s="4"/>
      <c r="I620" s="5"/>
      <c r="J620" s="6"/>
      <c r="K620" s="7"/>
      <c r="L620" s="8"/>
      <c r="M620" s="9"/>
      <c r="N620" s="9"/>
      <c r="O620" s="9"/>
      <c r="P620" s="10"/>
      <c r="Q620" s="11"/>
      <c r="R620" s="11"/>
      <c r="S620" s="11"/>
      <c r="T620" s="11"/>
      <c r="U620" s="11"/>
      <c r="V620" s="11"/>
      <c r="W620" s="11"/>
      <c r="X620" s="11"/>
      <c r="Y620" s="11"/>
      <c r="Z620" s="12"/>
      <c r="AA620" s="12"/>
      <c r="AB620" s="12"/>
      <c r="AC620" s="12"/>
      <c r="AD620" s="12"/>
      <c r="AE620" s="12"/>
      <c r="AF620" s="12"/>
    </row>
    <row r="621" ht="46.5" customHeight="1">
      <c r="A621" s="1"/>
      <c r="B621" s="2"/>
      <c r="C621" s="2"/>
      <c r="D621" s="3"/>
      <c r="E621" s="3"/>
      <c r="F621" s="3"/>
      <c r="G621" s="3"/>
      <c r="H621" s="4"/>
      <c r="I621" s="5"/>
      <c r="J621" s="6"/>
      <c r="K621" s="7"/>
      <c r="L621" s="8"/>
      <c r="M621" s="9"/>
      <c r="N621" s="9"/>
      <c r="O621" s="9"/>
      <c r="P621" s="10"/>
      <c r="Q621" s="11"/>
      <c r="R621" s="11"/>
      <c r="S621" s="11"/>
      <c r="T621" s="11"/>
      <c r="U621" s="11"/>
      <c r="V621" s="11"/>
      <c r="W621" s="11"/>
      <c r="X621" s="11"/>
      <c r="Y621" s="11"/>
      <c r="Z621" s="12"/>
      <c r="AA621" s="12"/>
      <c r="AB621" s="12"/>
      <c r="AC621" s="12"/>
      <c r="AD621" s="12"/>
      <c r="AE621" s="12"/>
      <c r="AF621" s="12"/>
    </row>
    <row r="622" ht="46.5" customHeight="1">
      <c r="A622" s="1"/>
      <c r="B622" s="2"/>
      <c r="C622" s="2"/>
      <c r="D622" s="3"/>
      <c r="E622" s="3"/>
      <c r="F622" s="3"/>
      <c r="G622" s="3"/>
      <c r="H622" s="4"/>
      <c r="I622" s="5"/>
      <c r="J622" s="6"/>
      <c r="K622" s="7"/>
      <c r="L622" s="8"/>
      <c r="M622" s="9"/>
      <c r="N622" s="9"/>
      <c r="O622" s="9"/>
      <c r="P622" s="10"/>
      <c r="Q622" s="11"/>
      <c r="R622" s="11"/>
      <c r="S622" s="11"/>
      <c r="T622" s="11"/>
      <c r="U622" s="11"/>
      <c r="V622" s="11"/>
      <c r="W622" s="11"/>
      <c r="X622" s="11"/>
      <c r="Y622" s="11"/>
      <c r="Z622" s="12"/>
      <c r="AA622" s="12"/>
      <c r="AB622" s="12"/>
      <c r="AC622" s="12"/>
      <c r="AD622" s="12"/>
      <c r="AE622" s="12"/>
      <c r="AF622" s="12"/>
    </row>
    <row r="623" ht="46.5" customHeight="1">
      <c r="A623" s="1"/>
      <c r="B623" s="2"/>
      <c r="C623" s="2"/>
      <c r="D623" s="3"/>
      <c r="E623" s="3"/>
      <c r="F623" s="3"/>
      <c r="G623" s="3"/>
      <c r="H623" s="4"/>
      <c r="I623" s="5"/>
      <c r="J623" s="6"/>
      <c r="K623" s="7"/>
      <c r="L623" s="8"/>
      <c r="M623" s="9"/>
      <c r="N623" s="9"/>
      <c r="O623" s="9"/>
      <c r="P623" s="10"/>
      <c r="Q623" s="11"/>
      <c r="R623" s="11"/>
      <c r="S623" s="11"/>
      <c r="T623" s="11"/>
      <c r="U623" s="11"/>
      <c r="V623" s="11"/>
      <c r="W623" s="11"/>
      <c r="X623" s="11"/>
      <c r="Y623" s="11"/>
      <c r="Z623" s="12"/>
      <c r="AA623" s="12"/>
      <c r="AB623" s="12"/>
      <c r="AC623" s="12"/>
      <c r="AD623" s="12"/>
      <c r="AE623" s="12"/>
      <c r="AF623" s="12"/>
    </row>
    <row r="624" ht="46.5" customHeight="1">
      <c r="A624" s="1"/>
      <c r="B624" s="2"/>
      <c r="C624" s="2"/>
      <c r="D624" s="3"/>
      <c r="E624" s="3"/>
      <c r="F624" s="3"/>
      <c r="G624" s="3"/>
      <c r="H624" s="4"/>
      <c r="I624" s="5"/>
      <c r="J624" s="6"/>
      <c r="K624" s="7"/>
      <c r="L624" s="8"/>
      <c r="M624" s="9"/>
      <c r="N624" s="9"/>
      <c r="O624" s="9"/>
      <c r="P624" s="10"/>
      <c r="Q624" s="11"/>
      <c r="R624" s="11"/>
      <c r="S624" s="11"/>
      <c r="T624" s="11"/>
      <c r="U624" s="11"/>
      <c r="V624" s="11"/>
      <c r="W624" s="11"/>
      <c r="X624" s="11"/>
      <c r="Y624" s="11"/>
      <c r="Z624" s="12"/>
      <c r="AA624" s="12"/>
      <c r="AB624" s="12"/>
      <c r="AC624" s="12"/>
      <c r="AD624" s="12"/>
      <c r="AE624" s="12"/>
      <c r="AF624" s="12"/>
    </row>
    <row r="625" ht="46.5" customHeight="1">
      <c r="A625" s="1"/>
      <c r="B625" s="2"/>
      <c r="C625" s="2"/>
      <c r="D625" s="3"/>
      <c r="E625" s="3"/>
      <c r="F625" s="3"/>
      <c r="G625" s="3"/>
      <c r="H625" s="4"/>
      <c r="I625" s="5"/>
      <c r="J625" s="6"/>
      <c r="K625" s="7"/>
      <c r="L625" s="8"/>
      <c r="M625" s="9"/>
      <c r="N625" s="9"/>
      <c r="O625" s="9"/>
      <c r="P625" s="10"/>
      <c r="Q625" s="11"/>
      <c r="R625" s="11"/>
      <c r="S625" s="11"/>
      <c r="T625" s="11"/>
      <c r="U625" s="11"/>
      <c r="V625" s="11"/>
      <c r="W625" s="11"/>
      <c r="X625" s="11"/>
      <c r="Y625" s="11"/>
      <c r="Z625" s="12"/>
      <c r="AA625" s="12"/>
      <c r="AB625" s="12"/>
      <c r="AC625" s="12"/>
      <c r="AD625" s="12"/>
      <c r="AE625" s="12"/>
      <c r="AF625" s="12"/>
    </row>
    <row r="626" ht="46.5" customHeight="1">
      <c r="A626" s="1"/>
      <c r="B626" s="2"/>
      <c r="C626" s="2"/>
      <c r="D626" s="3"/>
      <c r="E626" s="3"/>
      <c r="F626" s="3"/>
      <c r="G626" s="3"/>
      <c r="H626" s="4"/>
      <c r="I626" s="5"/>
      <c r="J626" s="6"/>
      <c r="K626" s="7"/>
      <c r="L626" s="8"/>
      <c r="M626" s="9"/>
      <c r="N626" s="9"/>
      <c r="O626" s="9"/>
      <c r="P626" s="10"/>
      <c r="Q626" s="11"/>
      <c r="R626" s="11"/>
      <c r="S626" s="11"/>
      <c r="T626" s="11"/>
      <c r="U626" s="11"/>
      <c r="V626" s="11"/>
      <c r="W626" s="11"/>
      <c r="X626" s="11"/>
      <c r="Y626" s="11"/>
      <c r="Z626" s="12"/>
      <c r="AA626" s="12"/>
      <c r="AB626" s="12"/>
      <c r="AC626" s="12"/>
      <c r="AD626" s="12"/>
      <c r="AE626" s="12"/>
      <c r="AF626" s="12"/>
    </row>
    <row r="627" ht="46.5" customHeight="1">
      <c r="A627" s="1"/>
      <c r="B627" s="2"/>
      <c r="C627" s="2"/>
      <c r="D627" s="3"/>
      <c r="E627" s="3"/>
      <c r="F627" s="3"/>
      <c r="G627" s="3"/>
      <c r="H627" s="4"/>
      <c r="I627" s="5"/>
      <c r="J627" s="6"/>
      <c r="K627" s="7"/>
      <c r="L627" s="8"/>
      <c r="M627" s="9"/>
      <c r="N627" s="9"/>
      <c r="O627" s="9"/>
      <c r="P627" s="10"/>
      <c r="Q627" s="11"/>
      <c r="R627" s="11"/>
      <c r="S627" s="11"/>
      <c r="T627" s="11"/>
      <c r="U627" s="11"/>
      <c r="V627" s="11"/>
      <c r="W627" s="11"/>
      <c r="X627" s="11"/>
      <c r="Y627" s="11"/>
      <c r="Z627" s="12"/>
      <c r="AA627" s="12"/>
      <c r="AB627" s="12"/>
      <c r="AC627" s="12"/>
      <c r="AD627" s="12"/>
      <c r="AE627" s="12"/>
      <c r="AF627" s="12"/>
    </row>
    <row r="628" ht="46.5" customHeight="1">
      <c r="A628" s="1"/>
      <c r="B628" s="2"/>
      <c r="C628" s="2"/>
      <c r="D628" s="3"/>
      <c r="E628" s="3"/>
      <c r="F628" s="3"/>
      <c r="G628" s="3"/>
      <c r="H628" s="4"/>
      <c r="I628" s="5"/>
      <c r="J628" s="6"/>
      <c r="K628" s="7"/>
      <c r="L628" s="8"/>
      <c r="M628" s="9"/>
      <c r="N628" s="9"/>
      <c r="O628" s="9"/>
      <c r="P628" s="10"/>
      <c r="Q628" s="11"/>
      <c r="R628" s="11"/>
      <c r="S628" s="11"/>
      <c r="T628" s="11"/>
      <c r="U628" s="11"/>
      <c r="V628" s="11"/>
      <c r="W628" s="11"/>
      <c r="X628" s="11"/>
      <c r="Y628" s="11"/>
      <c r="Z628" s="12"/>
      <c r="AA628" s="12"/>
      <c r="AB628" s="12"/>
      <c r="AC628" s="12"/>
      <c r="AD628" s="12"/>
      <c r="AE628" s="12"/>
      <c r="AF628" s="12"/>
    </row>
    <row r="629" ht="46.5" customHeight="1">
      <c r="A629" s="1"/>
      <c r="B629" s="2"/>
      <c r="C629" s="2"/>
      <c r="D629" s="3"/>
      <c r="E629" s="3"/>
      <c r="F629" s="3"/>
      <c r="G629" s="3"/>
      <c r="H629" s="4"/>
      <c r="I629" s="5"/>
      <c r="J629" s="6"/>
      <c r="K629" s="7"/>
      <c r="L629" s="8"/>
      <c r="M629" s="9"/>
      <c r="N629" s="9"/>
      <c r="O629" s="9"/>
      <c r="P629" s="10"/>
      <c r="Q629" s="11"/>
      <c r="R629" s="11"/>
      <c r="S629" s="11"/>
      <c r="T629" s="11"/>
      <c r="U629" s="11"/>
      <c r="V629" s="11"/>
      <c r="W629" s="11"/>
      <c r="X629" s="11"/>
      <c r="Y629" s="11"/>
      <c r="Z629" s="12"/>
      <c r="AA629" s="12"/>
      <c r="AB629" s="12"/>
      <c r="AC629" s="12"/>
      <c r="AD629" s="12"/>
      <c r="AE629" s="12"/>
      <c r="AF629" s="12"/>
    </row>
    <row r="630" ht="46.5" customHeight="1">
      <c r="A630" s="1"/>
      <c r="B630" s="2"/>
      <c r="C630" s="2"/>
      <c r="D630" s="3"/>
      <c r="E630" s="3"/>
      <c r="F630" s="3"/>
      <c r="G630" s="3"/>
      <c r="H630" s="4"/>
      <c r="I630" s="5"/>
      <c r="J630" s="6"/>
      <c r="K630" s="7"/>
      <c r="L630" s="8"/>
      <c r="M630" s="9"/>
      <c r="N630" s="9"/>
      <c r="O630" s="9"/>
      <c r="P630" s="10"/>
      <c r="Q630" s="11"/>
      <c r="R630" s="11"/>
      <c r="S630" s="11"/>
      <c r="T630" s="11"/>
      <c r="U630" s="11"/>
      <c r="V630" s="11"/>
      <c r="W630" s="11"/>
      <c r="X630" s="11"/>
      <c r="Y630" s="11"/>
      <c r="Z630" s="12"/>
      <c r="AA630" s="12"/>
      <c r="AB630" s="12"/>
      <c r="AC630" s="12"/>
      <c r="AD630" s="12"/>
      <c r="AE630" s="12"/>
      <c r="AF630" s="12"/>
    </row>
    <row r="631" ht="46.5" customHeight="1">
      <c r="A631" s="1"/>
      <c r="B631" s="2"/>
      <c r="C631" s="2"/>
      <c r="D631" s="3"/>
      <c r="E631" s="3"/>
      <c r="F631" s="3"/>
      <c r="G631" s="3"/>
      <c r="H631" s="4"/>
      <c r="I631" s="5"/>
      <c r="J631" s="6"/>
      <c r="K631" s="7"/>
      <c r="L631" s="8"/>
      <c r="M631" s="9"/>
      <c r="N631" s="9"/>
      <c r="O631" s="9"/>
      <c r="P631" s="10"/>
      <c r="Q631" s="11"/>
      <c r="R631" s="11"/>
      <c r="S631" s="11"/>
      <c r="T631" s="11"/>
      <c r="U631" s="11"/>
      <c r="V631" s="11"/>
      <c r="W631" s="11"/>
      <c r="X631" s="11"/>
      <c r="Y631" s="11"/>
      <c r="Z631" s="12"/>
      <c r="AA631" s="12"/>
      <c r="AB631" s="12"/>
      <c r="AC631" s="12"/>
      <c r="AD631" s="12"/>
      <c r="AE631" s="12"/>
      <c r="AF631" s="12"/>
    </row>
    <row r="632" ht="46.5" customHeight="1">
      <c r="A632" s="1"/>
      <c r="B632" s="2"/>
      <c r="C632" s="2"/>
      <c r="D632" s="3"/>
      <c r="E632" s="3"/>
      <c r="F632" s="3"/>
      <c r="G632" s="3"/>
      <c r="H632" s="4"/>
      <c r="I632" s="5"/>
      <c r="J632" s="6"/>
      <c r="K632" s="7"/>
      <c r="L632" s="8"/>
      <c r="M632" s="9"/>
      <c r="N632" s="9"/>
      <c r="O632" s="9"/>
      <c r="P632" s="10"/>
      <c r="Q632" s="11"/>
      <c r="R632" s="11"/>
      <c r="S632" s="11"/>
      <c r="T632" s="11"/>
      <c r="U632" s="11"/>
      <c r="V632" s="11"/>
      <c r="W632" s="11"/>
      <c r="X632" s="11"/>
      <c r="Y632" s="11"/>
      <c r="Z632" s="12"/>
      <c r="AA632" s="12"/>
      <c r="AB632" s="12"/>
      <c r="AC632" s="12"/>
      <c r="AD632" s="12"/>
      <c r="AE632" s="12"/>
      <c r="AF632" s="12"/>
    </row>
    <row r="633" ht="46.5" customHeight="1">
      <c r="A633" s="1"/>
      <c r="B633" s="2"/>
      <c r="C633" s="2"/>
      <c r="D633" s="3"/>
      <c r="E633" s="3"/>
      <c r="F633" s="3"/>
      <c r="G633" s="3"/>
      <c r="H633" s="4"/>
      <c r="I633" s="5"/>
      <c r="J633" s="6"/>
      <c r="K633" s="7"/>
      <c r="L633" s="8"/>
      <c r="M633" s="9"/>
      <c r="N633" s="9"/>
      <c r="O633" s="9"/>
      <c r="P633" s="10"/>
      <c r="Q633" s="11"/>
      <c r="R633" s="11"/>
      <c r="S633" s="11"/>
      <c r="T633" s="11"/>
      <c r="U633" s="11"/>
      <c r="V633" s="11"/>
      <c r="W633" s="11"/>
      <c r="X633" s="11"/>
      <c r="Y633" s="11"/>
      <c r="Z633" s="12"/>
      <c r="AA633" s="12"/>
      <c r="AB633" s="12"/>
      <c r="AC633" s="12"/>
      <c r="AD633" s="12"/>
      <c r="AE633" s="12"/>
      <c r="AF633" s="12"/>
    </row>
    <row r="634" ht="46.5" customHeight="1">
      <c r="A634" s="1"/>
      <c r="B634" s="2"/>
      <c r="C634" s="2"/>
      <c r="D634" s="3"/>
      <c r="E634" s="3"/>
      <c r="F634" s="3"/>
      <c r="G634" s="3"/>
      <c r="H634" s="4"/>
      <c r="I634" s="5"/>
      <c r="J634" s="6"/>
      <c r="K634" s="7"/>
      <c r="L634" s="8"/>
      <c r="M634" s="9"/>
      <c r="N634" s="9"/>
      <c r="O634" s="9"/>
      <c r="P634" s="10"/>
      <c r="Q634" s="11"/>
      <c r="R634" s="11"/>
      <c r="S634" s="11"/>
      <c r="T634" s="11"/>
      <c r="U634" s="11"/>
      <c r="V634" s="11"/>
      <c r="W634" s="11"/>
      <c r="X634" s="11"/>
      <c r="Y634" s="11"/>
      <c r="Z634" s="12"/>
      <c r="AA634" s="12"/>
      <c r="AB634" s="12"/>
      <c r="AC634" s="12"/>
      <c r="AD634" s="12"/>
      <c r="AE634" s="12"/>
      <c r="AF634" s="12"/>
    </row>
    <row r="635" ht="46.5" customHeight="1">
      <c r="A635" s="1"/>
      <c r="B635" s="2"/>
      <c r="C635" s="2"/>
      <c r="D635" s="3"/>
      <c r="E635" s="3"/>
      <c r="F635" s="3"/>
      <c r="G635" s="3"/>
      <c r="H635" s="4"/>
      <c r="I635" s="5"/>
      <c r="J635" s="6"/>
      <c r="K635" s="7"/>
      <c r="L635" s="8"/>
      <c r="M635" s="9"/>
      <c r="N635" s="9"/>
      <c r="O635" s="9"/>
      <c r="P635" s="10"/>
      <c r="Q635" s="11"/>
      <c r="R635" s="11"/>
      <c r="S635" s="11"/>
      <c r="T635" s="11"/>
      <c r="U635" s="11"/>
      <c r="V635" s="11"/>
      <c r="W635" s="11"/>
      <c r="X635" s="11"/>
      <c r="Y635" s="11"/>
      <c r="Z635" s="12"/>
      <c r="AA635" s="12"/>
      <c r="AB635" s="12"/>
      <c r="AC635" s="12"/>
      <c r="AD635" s="12"/>
      <c r="AE635" s="12"/>
      <c r="AF635" s="12"/>
    </row>
    <row r="636" ht="46.5" customHeight="1">
      <c r="A636" s="1"/>
      <c r="B636" s="2"/>
      <c r="C636" s="2"/>
      <c r="D636" s="3"/>
      <c r="E636" s="3"/>
      <c r="F636" s="3"/>
      <c r="G636" s="3"/>
      <c r="H636" s="4"/>
      <c r="I636" s="5"/>
      <c r="J636" s="6"/>
      <c r="K636" s="7"/>
      <c r="L636" s="8"/>
      <c r="M636" s="9"/>
      <c r="N636" s="9"/>
      <c r="O636" s="9"/>
      <c r="P636" s="10"/>
      <c r="Q636" s="11"/>
      <c r="R636" s="11"/>
      <c r="S636" s="11"/>
      <c r="T636" s="11"/>
      <c r="U636" s="11"/>
      <c r="V636" s="11"/>
      <c r="W636" s="11"/>
      <c r="X636" s="11"/>
      <c r="Y636" s="11"/>
      <c r="Z636" s="12"/>
      <c r="AA636" s="12"/>
      <c r="AB636" s="12"/>
      <c r="AC636" s="12"/>
      <c r="AD636" s="12"/>
      <c r="AE636" s="12"/>
      <c r="AF636" s="12"/>
    </row>
    <row r="637" ht="46.5" customHeight="1">
      <c r="A637" s="1"/>
      <c r="B637" s="2"/>
      <c r="C637" s="2"/>
      <c r="D637" s="3"/>
      <c r="E637" s="3"/>
      <c r="F637" s="3"/>
      <c r="G637" s="3"/>
      <c r="H637" s="4"/>
      <c r="I637" s="5"/>
      <c r="J637" s="6"/>
      <c r="K637" s="7"/>
      <c r="L637" s="8"/>
      <c r="M637" s="9"/>
      <c r="N637" s="9"/>
      <c r="O637" s="9"/>
      <c r="P637" s="10"/>
      <c r="Q637" s="11"/>
      <c r="R637" s="11"/>
      <c r="S637" s="11"/>
      <c r="T637" s="11"/>
      <c r="U637" s="11"/>
      <c r="V637" s="11"/>
      <c r="W637" s="11"/>
      <c r="X637" s="11"/>
      <c r="Y637" s="11"/>
      <c r="Z637" s="12"/>
      <c r="AA637" s="12"/>
      <c r="AB637" s="12"/>
      <c r="AC637" s="12"/>
      <c r="AD637" s="12"/>
      <c r="AE637" s="12"/>
      <c r="AF637" s="12"/>
    </row>
    <row r="638" ht="46.5" customHeight="1">
      <c r="A638" s="1"/>
      <c r="B638" s="2"/>
      <c r="C638" s="2"/>
      <c r="D638" s="3"/>
      <c r="E638" s="3"/>
      <c r="F638" s="3"/>
      <c r="G638" s="3"/>
      <c r="H638" s="4"/>
      <c r="I638" s="5"/>
      <c r="J638" s="6"/>
      <c r="K638" s="7"/>
      <c r="L638" s="8"/>
      <c r="M638" s="9"/>
      <c r="N638" s="9"/>
      <c r="O638" s="9"/>
      <c r="P638" s="10"/>
      <c r="Q638" s="11"/>
      <c r="R638" s="11"/>
      <c r="S638" s="11"/>
      <c r="T638" s="11"/>
      <c r="U638" s="11"/>
      <c r="V638" s="11"/>
      <c r="W638" s="11"/>
      <c r="X638" s="11"/>
      <c r="Y638" s="11"/>
      <c r="Z638" s="12"/>
      <c r="AA638" s="12"/>
      <c r="AB638" s="12"/>
      <c r="AC638" s="12"/>
      <c r="AD638" s="12"/>
      <c r="AE638" s="12"/>
      <c r="AF638" s="12"/>
    </row>
    <row r="639" ht="46.5" customHeight="1">
      <c r="A639" s="1"/>
      <c r="B639" s="2"/>
      <c r="C639" s="2"/>
      <c r="D639" s="3"/>
      <c r="E639" s="3"/>
      <c r="F639" s="3"/>
      <c r="G639" s="3"/>
      <c r="H639" s="4"/>
      <c r="I639" s="5"/>
      <c r="J639" s="6"/>
      <c r="K639" s="7"/>
      <c r="L639" s="8"/>
      <c r="M639" s="9"/>
      <c r="N639" s="9"/>
      <c r="O639" s="9"/>
      <c r="P639" s="10"/>
      <c r="Q639" s="11"/>
      <c r="R639" s="11"/>
      <c r="S639" s="11"/>
      <c r="T639" s="11"/>
      <c r="U639" s="11"/>
      <c r="V639" s="11"/>
      <c r="W639" s="11"/>
      <c r="X639" s="11"/>
      <c r="Y639" s="11"/>
      <c r="Z639" s="12"/>
      <c r="AA639" s="12"/>
      <c r="AB639" s="12"/>
      <c r="AC639" s="12"/>
      <c r="AD639" s="12"/>
      <c r="AE639" s="12"/>
      <c r="AF639" s="12"/>
    </row>
    <row r="640" ht="46.5" customHeight="1">
      <c r="A640" s="1"/>
      <c r="B640" s="2"/>
      <c r="C640" s="2"/>
      <c r="D640" s="3"/>
      <c r="E640" s="3"/>
      <c r="F640" s="3"/>
      <c r="G640" s="3"/>
      <c r="H640" s="4"/>
      <c r="I640" s="5"/>
      <c r="J640" s="6"/>
      <c r="K640" s="7"/>
      <c r="L640" s="8"/>
      <c r="M640" s="9"/>
      <c r="N640" s="9"/>
      <c r="O640" s="9"/>
      <c r="P640" s="10"/>
      <c r="Q640" s="11"/>
      <c r="R640" s="11"/>
      <c r="S640" s="11"/>
      <c r="T640" s="11"/>
      <c r="U640" s="11"/>
      <c r="V640" s="11"/>
      <c r="W640" s="11"/>
      <c r="X640" s="11"/>
      <c r="Y640" s="11"/>
      <c r="Z640" s="12"/>
      <c r="AA640" s="12"/>
      <c r="AB640" s="12"/>
      <c r="AC640" s="12"/>
      <c r="AD640" s="12"/>
      <c r="AE640" s="12"/>
      <c r="AF640" s="12"/>
    </row>
    <row r="641" ht="46.5" customHeight="1">
      <c r="A641" s="1"/>
      <c r="B641" s="2"/>
      <c r="C641" s="2"/>
      <c r="D641" s="3"/>
      <c r="E641" s="3"/>
      <c r="F641" s="3"/>
      <c r="G641" s="3"/>
      <c r="H641" s="4"/>
      <c r="I641" s="5"/>
      <c r="J641" s="6"/>
      <c r="K641" s="7"/>
      <c r="L641" s="8"/>
      <c r="M641" s="9"/>
      <c r="N641" s="9"/>
      <c r="O641" s="9"/>
      <c r="P641" s="10"/>
      <c r="Q641" s="11"/>
      <c r="R641" s="11"/>
      <c r="S641" s="11"/>
      <c r="T641" s="11"/>
      <c r="U641" s="11"/>
      <c r="V641" s="11"/>
      <c r="W641" s="11"/>
      <c r="X641" s="11"/>
      <c r="Y641" s="11"/>
      <c r="Z641" s="12"/>
      <c r="AA641" s="12"/>
      <c r="AB641" s="12"/>
      <c r="AC641" s="12"/>
      <c r="AD641" s="12"/>
      <c r="AE641" s="12"/>
      <c r="AF641" s="12"/>
    </row>
    <row r="642" ht="46.5" customHeight="1">
      <c r="A642" s="1"/>
      <c r="B642" s="2"/>
      <c r="C642" s="2"/>
      <c r="D642" s="3"/>
      <c r="E642" s="3"/>
      <c r="F642" s="3"/>
      <c r="G642" s="3"/>
      <c r="H642" s="4"/>
      <c r="I642" s="5"/>
      <c r="J642" s="6"/>
      <c r="K642" s="7"/>
      <c r="L642" s="8"/>
      <c r="M642" s="9"/>
      <c r="N642" s="9"/>
      <c r="O642" s="9"/>
      <c r="P642" s="10"/>
      <c r="Q642" s="11"/>
      <c r="R642" s="11"/>
      <c r="S642" s="11"/>
      <c r="T642" s="11"/>
      <c r="U642" s="11"/>
      <c r="V642" s="11"/>
      <c r="W642" s="11"/>
      <c r="X642" s="11"/>
      <c r="Y642" s="11"/>
      <c r="Z642" s="12"/>
      <c r="AA642" s="12"/>
      <c r="AB642" s="12"/>
      <c r="AC642" s="12"/>
      <c r="AD642" s="12"/>
      <c r="AE642" s="12"/>
      <c r="AF642" s="12"/>
    </row>
    <row r="643" ht="46.5" customHeight="1">
      <c r="A643" s="1"/>
      <c r="B643" s="2"/>
      <c r="C643" s="2"/>
      <c r="D643" s="3"/>
      <c r="E643" s="3"/>
      <c r="F643" s="3"/>
      <c r="G643" s="3"/>
      <c r="H643" s="4"/>
      <c r="I643" s="5"/>
      <c r="J643" s="6"/>
      <c r="K643" s="7"/>
      <c r="L643" s="8"/>
      <c r="M643" s="9"/>
      <c r="N643" s="9"/>
      <c r="O643" s="9"/>
      <c r="P643" s="10"/>
      <c r="Q643" s="11"/>
      <c r="R643" s="11"/>
      <c r="S643" s="11"/>
      <c r="T643" s="11"/>
      <c r="U643" s="11"/>
      <c r="V643" s="11"/>
      <c r="W643" s="11"/>
      <c r="X643" s="11"/>
      <c r="Y643" s="11"/>
      <c r="Z643" s="12"/>
      <c r="AA643" s="12"/>
      <c r="AB643" s="12"/>
      <c r="AC643" s="12"/>
      <c r="AD643" s="12"/>
      <c r="AE643" s="12"/>
      <c r="AF643" s="12"/>
    </row>
    <row r="644" ht="46.5" customHeight="1">
      <c r="A644" s="1"/>
      <c r="B644" s="2"/>
      <c r="C644" s="2"/>
      <c r="D644" s="3"/>
      <c r="E644" s="3"/>
      <c r="F644" s="3"/>
      <c r="G644" s="3"/>
      <c r="H644" s="4"/>
      <c r="I644" s="5"/>
      <c r="J644" s="6"/>
      <c r="K644" s="7"/>
      <c r="L644" s="8"/>
      <c r="M644" s="9"/>
      <c r="N644" s="9"/>
      <c r="O644" s="9"/>
      <c r="P644" s="10"/>
      <c r="Q644" s="11"/>
      <c r="R644" s="11"/>
      <c r="S644" s="11"/>
      <c r="T644" s="11"/>
      <c r="U644" s="11"/>
      <c r="V644" s="11"/>
      <c r="W644" s="11"/>
      <c r="X644" s="11"/>
      <c r="Y644" s="11"/>
      <c r="Z644" s="12"/>
      <c r="AA644" s="12"/>
      <c r="AB644" s="12"/>
      <c r="AC644" s="12"/>
      <c r="AD644" s="12"/>
      <c r="AE644" s="12"/>
      <c r="AF644" s="12"/>
    </row>
    <row r="645" ht="46.5" customHeight="1">
      <c r="A645" s="1"/>
      <c r="B645" s="2"/>
      <c r="C645" s="2"/>
      <c r="D645" s="3"/>
      <c r="E645" s="3"/>
      <c r="F645" s="3"/>
      <c r="G645" s="3"/>
      <c r="H645" s="4"/>
      <c r="I645" s="5"/>
      <c r="J645" s="6"/>
      <c r="K645" s="7"/>
      <c r="L645" s="8"/>
      <c r="M645" s="9"/>
      <c r="N645" s="9"/>
      <c r="O645" s="9"/>
      <c r="P645" s="10"/>
      <c r="Q645" s="11"/>
      <c r="R645" s="11"/>
      <c r="S645" s="11"/>
      <c r="T645" s="11"/>
      <c r="U645" s="11"/>
      <c r="V645" s="11"/>
      <c r="W645" s="11"/>
      <c r="X645" s="11"/>
      <c r="Y645" s="11"/>
      <c r="Z645" s="12"/>
      <c r="AA645" s="12"/>
      <c r="AB645" s="12"/>
      <c r="AC645" s="12"/>
      <c r="AD645" s="12"/>
      <c r="AE645" s="12"/>
      <c r="AF645" s="12"/>
    </row>
    <row r="646" ht="46.5" customHeight="1">
      <c r="A646" s="1"/>
      <c r="B646" s="2"/>
      <c r="C646" s="2"/>
      <c r="D646" s="3"/>
      <c r="E646" s="3"/>
      <c r="F646" s="3"/>
      <c r="G646" s="3"/>
      <c r="H646" s="4"/>
      <c r="I646" s="5"/>
      <c r="J646" s="6"/>
      <c r="K646" s="7"/>
      <c r="L646" s="8"/>
      <c r="M646" s="9"/>
      <c r="N646" s="9"/>
      <c r="O646" s="9"/>
      <c r="P646" s="10"/>
      <c r="Q646" s="11"/>
      <c r="R646" s="11"/>
      <c r="S646" s="11"/>
      <c r="T646" s="11"/>
      <c r="U646" s="11"/>
      <c r="V646" s="11"/>
      <c r="W646" s="11"/>
      <c r="X646" s="11"/>
      <c r="Y646" s="11"/>
      <c r="Z646" s="12"/>
      <c r="AA646" s="12"/>
      <c r="AB646" s="12"/>
      <c r="AC646" s="12"/>
      <c r="AD646" s="12"/>
      <c r="AE646" s="12"/>
      <c r="AF646" s="12"/>
    </row>
    <row r="647" ht="46.5" customHeight="1">
      <c r="A647" s="1"/>
      <c r="B647" s="2"/>
      <c r="C647" s="2"/>
      <c r="D647" s="3"/>
      <c r="E647" s="3"/>
      <c r="F647" s="3"/>
      <c r="G647" s="3"/>
      <c r="H647" s="4"/>
      <c r="I647" s="5"/>
      <c r="J647" s="6"/>
      <c r="K647" s="7"/>
      <c r="L647" s="8"/>
      <c r="M647" s="9"/>
      <c r="N647" s="9"/>
      <c r="O647" s="9"/>
      <c r="P647" s="10"/>
      <c r="Q647" s="11"/>
      <c r="R647" s="11"/>
      <c r="S647" s="11"/>
      <c r="T647" s="11"/>
      <c r="U647" s="11"/>
      <c r="V647" s="11"/>
      <c r="W647" s="11"/>
      <c r="X647" s="11"/>
      <c r="Y647" s="11"/>
      <c r="Z647" s="12"/>
      <c r="AA647" s="12"/>
      <c r="AB647" s="12"/>
      <c r="AC647" s="12"/>
      <c r="AD647" s="12"/>
      <c r="AE647" s="12"/>
      <c r="AF647" s="12"/>
    </row>
    <row r="648" ht="46.5" customHeight="1">
      <c r="A648" s="1"/>
      <c r="B648" s="2"/>
      <c r="C648" s="2"/>
      <c r="D648" s="3"/>
      <c r="E648" s="3"/>
      <c r="F648" s="3"/>
      <c r="G648" s="3"/>
      <c r="H648" s="4"/>
      <c r="I648" s="5"/>
      <c r="J648" s="6"/>
      <c r="K648" s="7"/>
      <c r="L648" s="8"/>
      <c r="M648" s="9"/>
      <c r="N648" s="9"/>
      <c r="O648" s="9"/>
      <c r="P648" s="10"/>
      <c r="Q648" s="11"/>
      <c r="R648" s="11"/>
      <c r="S648" s="11"/>
      <c r="T648" s="11"/>
      <c r="U648" s="11"/>
      <c r="V648" s="11"/>
      <c r="W648" s="11"/>
      <c r="X648" s="11"/>
      <c r="Y648" s="11"/>
      <c r="Z648" s="12"/>
      <c r="AA648" s="12"/>
      <c r="AB648" s="12"/>
      <c r="AC648" s="12"/>
      <c r="AD648" s="12"/>
      <c r="AE648" s="12"/>
      <c r="AF648" s="12"/>
    </row>
    <row r="649" ht="46.5" customHeight="1">
      <c r="A649" s="1"/>
      <c r="B649" s="2"/>
      <c r="C649" s="2"/>
      <c r="D649" s="3"/>
      <c r="E649" s="3"/>
      <c r="F649" s="3"/>
      <c r="G649" s="3"/>
      <c r="H649" s="4"/>
      <c r="I649" s="5"/>
      <c r="J649" s="6"/>
      <c r="K649" s="7"/>
      <c r="L649" s="8"/>
      <c r="M649" s="9"/>
      <c r="N649" s="9"/>
      <c r="O649" s="9"/>
      <c r="P649" s="10"/>
      <c r="Q649" s="11"/>
      <c r="R649" s="11"/>
      <c r="S649" s="11"/>
      <c r="T649" s="11"/>
      <c r="U649" s="11"/>
      <c r="V649" s="11"/>
      <c r="W649" s="11"/>
      <c r="X649" s="11"/>
      <c r="Y649" s="11"/>
      <c r="Z649" s="12"/>
      <c r="AA649" s="12"/>
      <c r="AB649" s="12"/>
      <c r="AC649" s="12"/>
      <c r="AD649" s="12"/>
      <c r="AE649" s="12"/>
      <c r="AF649" s="12"/>
    </row>
    <row r="650" ht="46.5" customHeight="1">
      <c r="A650" s="1"/>
      <c r="B650" s="2"/>
      <c r="C650" s="2"/>
      <c r="D650" s="3"/>
      <c r="E650" s="3"/>
      <c r="F650" s="3"/>
      <c r="G650" s="3"/>
      <c r="H650" s="4"/>
      <c r="I650" s="5"/>
      <c r="J650" s="6"/>
      <c r="K650" s="7"/>
      <c r="L650" s="8"/>
      <c r="M650" s="9"/>
      <c r="N650" s="9"/>
      <c r="O650" s="9"/>
      <c r="P650" s="10"/>
      <c r="Q650" s="11"/>
      <c r="R650" s="11"/>
      <c r="S650" s="11"/>
      <c r="T650" s="11"/>
      <c r="U650" s="11"/>
      <c r="V650" s="11"/>
      <c r="W650" s="11"/>
      <c r="X650" s="11"/>
      <c r="Y650" s="11"/>
      <c r="Z650" s="12"/>
      <c r="AA650" s="12"/>
      <c r="AB650" s="12"/>
      <c r="AC650" s="12"/>
      <c r="AD650" s="12"/>
      <c r="AE650" s="12"/>
      <c r="AF650" s="12"/>
    </row>
    <row r="651" ht="46.5" customHeight="1">
      <c r="A651" s="1"/>
      <c r="B651" s="2"/>
      <c r="C651" s="2"/>
      <c r="D651" s="3"/>
      <c r="E651" s="3"/>
      <c r="F651" s="3"/>
      <c r="G651" s="3"/>
      <c r="H651" s="4"/>
      <c r="I651" s="5"/>
      <c r="J651" s="6"/>
      <c r="K651" s="7"/>
      <c r="L651" s="8"/>
      <c r="M651" s="9"/>
      <c r="N651" s="9"/>
      <c r="O651" s="9"/>
      <c r="P651" s="10"/>
      <c r="Q651" s="11"/>
      <c r="R651" s="11"/>
      <c r="S651" s="11"/>
      <c r="T651" s="11"/>
      <c r="U651" s="11"/>
      <c r="V651" s="11"/>
      <c r="W651" s="11"/>
      <c r="X651" s="11"/>
      <c r="Y651" s="11"/>
      <c r="Z651" s="12"/>
      <c r="AA651" s="12"/>
      <c r="AB651" s="12"/>
      <c r="AC651" s="12"/>
      <c r="AD651" s="12"/>
      <c r="AE651" s="12"/>
      <c r="AF651" s="12"/>
    </row>
    <row r="652" ht="46.5" customHeight="1">
      <c r="A652" s="1"/>
      <c r="B652" s="2"/>
      <c r="C652" s="2"/>
      <c r="D652" s="3"/>
      <c r="E652" s="3"/>
      <c r="F652" s="3"/>
      <c r="G652" s="3"/>
      <c r="H652" s="4"/>
      <c r="I652" s="5"/>
      <c r="J652" s="6"/>
      <c r="K652" s="7"/>
      <c r="L652" s="8"/>
      <c r="M652" s="9"/>
      <c r="N652" s="9"/>
      <c r="O652" s="9"/>
      <c r="P652" s="10"/>
      <c r="Q652" s="11"/>
      <c r="R652" s="11"/>
      <c r="S652" s="11"/>
      <c r="T652" s="11"/>
      <c r="U652" s="11"/>
      <c r="V652" s="11"/>
      <c r="W652" s="11"/>
      <c r="X652" s="11"/>
      <c r="Y652" s="11"/>
      <c r="Z652" s="12"/>
      <c r="AA652" s="12"/>
      <c r="AB652" s="12"/>
      <c r="AC652" s="12"/>
      <c r="AD652" s="12"/>
      <c r="AE652" s="12"/>
      <c r="AF652" s="12"/>
    </row>
    <row r="653" ht="46.5" customHeight="1">
      <c r="A653" s="1"/>
      <c r="B653" s="2"/>
      <c r="C653" s="2"/>
      <c r="D653" s="3"/>
      <c r="E653" s="3"/>
      <c r="F653" s="3"/>
      <c r="G653" s="3"/>
      <c r="H653" s="4"/>
      <c r="I653" s="5"/>
      <c r="J653" s="6"/>
      <c r="K653" s="7"/>
      <c r="L653" s="8"/>
      <c r="M653" s="9"/>
      <c r="N653" s="9"/>
      <c r="O653" s="9"/>
      <c r="P653" s="10"/>
      <c r="Q653" s="11"/>
      <c r="R653" s="11"/>
      <c r="S653" s="11"/>
      <c r="T653" s="11"/>
      <c r="U653" s="11"/>
      <c r="V653" s="11"/>
      <c r="W653" s="11"/>
      <c r="X653" s="11"/>
      <c r="Y653" s="11"/>
      <c r="Z653" s="12"/>
      <c r="AA653" s="12"/>
      <c r="AB653" s="12"/>
      <c r="AC653" s="12"/>
      <c r="AD653" s="12"/>
      <c r="AE653" s="12"/>
      <c r="AF653" s="12"/>
    </row>
    <row r="654" ht="46.5" customHeight="1">
      <c r="A654" s="1"/>
      <c r="B654" s="2"/>
      <c r="C654" s="2"/>
      <c r="D654" s="3"/>
      <c r="E654" s="3"/>
      <c r="F654" s="3"/>
      <c r="G654" s="3"/>
      <c r="H654" s="4"/>
      <c r="I654" s="5"/>
      <c r="J654" s="6"/>
      <c r="K654" s="7"/>
      <c r="L654" s="8"/>
      <c r="M654" s="9"/>
      <c r="N654" s="9"/>
      <c r="O654" s="9"/>
      <c r="P654" s="10"/>
      <c r="Q654" s="11"/>
      <c r="R654" s="11"/>
      <c r="S654" s="11"/>
      <c r="T654" s="11"/>
      <c r="U654" s="11"/>
      <c r="V654" s="11"/>
      <c r="W654" s="11"/>
      <c r="X654" s="11"/>
      <c r="Y654" s="11"/>
      <c r="Z654" s="12"/>
      <c r="AA654" s="12"/>
      <c r="AB654" s="12"/>
      <c r="AC654" s="12"/>
      <c r="AD654" s="12"/>
      <c r="AE654" s="12"/>
      <c r="AF654" s="12"/>
    </row>
    <row r="655" ht="46.5" customHeight="1">
      <c r="A655" s="1"/>
      <c r="B655" s="2"/>
      <c r="C655" s="2"/>
      <c r="D655" s="3"/>
      <c r="E655" s="3"/>
      <c r="F655" s="3"/>
      <c r="G655" s="3"/>
      <c r="H655" s="4"/>
      <c r="I655" s="5"/>
      <c r="J655" s="6"/>
      <c r="K655" s="7"/>
      <c r="L655" s="8"/>
      <c r="M655" s="9"/>
      <c r="N655" s="9"/>
      <c r="O655" s="9"/>
      <c r="P655" s="10"/>
      <c r="Q655" s="11"/>
      <c r="R655" s="11"/>
      <c r="S655" s="11"/>
      <c r="T655" s="11"/>
      <c r="U655" s="11"/>
      <c r="V655" s="11"/>
      <c r="W655" s="11"/>
      <c r="X655" s="11"/>
      <c r="Y655" s="11"/>
      <c r="Z655" s="12"/>
      <c r="AA655" s="12"/>
      <c r="AB655" s="12"/>
      <c r="AC655" s="12"/>
      <c r="AD655" s="12"/>
      <c r="AE655" s="12"/>
      <c r="AF655" s="12"/>
    </row>
    <row r="656" ht="46.5" customHeight="1">
      <c r="A656" s="1"/>
      <c r="B656" s="2"/>
      <c r="C656" s="2"/>
      <c r="D656" s="3"/>
      <c r="E656" s="3"/>
      <c r="F656" s="3"/>
      <c r="G656" s="3"/>
      <c r="H656" s="4"/>
      <c r="I656" s="5"/>
      <c r="J656" s="6"/>
      <c r="K656" s="7"/>
      <c r="L656" s="8"/>
      <c r="M656" s="9"/>
      <c r="N656" s="9"/>
      <c r="O656" s="9"/>
      <c r="P656" s="10"/>
      <c r="Q656" s="11"/>
      <c r="R656" s="11"/>
      <c r="S656" s="11"/>
      <c r="T656" s="11"/>
      <c r="U656" s="11"/>
      <c r="V656" s="11"/>
      <c r="W656" s="11"/>
      <c r="X656" s="11"/>
      <c r="Y656" s="11"/>
      <c r="Z656" s="12"/>
      <c r="AA656" s="12"/>
      <c r="AB656" s="12"/>
      <c r="AC656" s="12"/>
      <c r="AD656" s="12"/>
      <c r="AE656" s="12"/>
      <c r="AF656" s="12"/>
    </row>
    <row r="657" ht="46.5" customHeight="1">
      <c r="A657" s="1"/>
      <c r="B657" s="2"/>
      <c r="C657" s="2"/>
      <c r="D657" s="3"/>
      <c r="E657" s="3"/>
      <c r="F657" s="3"/>
      <c r="G657" s="3"/>
      <c r="H657" s="4"/>
      <c r="I657" s="5"/>
      <c r="J657" s="6"/>
      <c r="K657" s="7"/>
      <c r="L657" s="8"/>
      <c r="M657" s="9"/>
      <c r="N657" s="9"/>
      <c r="O657" s="9"/>
      <c r="P657" s="10"/>
      <c r="Q657" s="11"/>
      <c r="R657" s="11"/>
      <c r="S657" s="11"/>
      <c r="T657" s="11"/>
      <c r="U657" s="11"/>
      <c r="V657" s="11"/>
      <c r="W657" s="11"/>
      <c r="X657" s="11"/>
      <c r="Y657" s="11"/>
      <c r="Z657" s="12"/>
      <c r="AA657" s="12"/>
      <c r="AB657" s="12"/>
      <c r="AC657" s="12"/>
      <c r="AD657" s="12"/>
      <c r="AE657" s="12"/>
      <c r="AF657" s="12"/>
    </row>
    <row r="658" ht="46.5" customHeight="1">
      <c r="A658" s="1"/>
      <c r="B658" s="2"/>
      <c r="C658" s="2"/>
      <c r="D658" s="3"/>
      <c r="E658" s="3"/>
      <c r="F658" s="3"/>
      <c r="G658" s="3"/>
      <c r="H658" s="4"/>
      <c r="I658" s="5"/>
      <c r="J658" s="6"/>
      <c r="K658" s="7"/>
      <c r="L658" s="8"/>
      <c r="M658" s="9"/>
      <c r="N658" s="9"/>
      <c r="O658" s="9"/>
      <c r="P658" s="10"/>
      <c r="Q658" s="11"/>
      <c r="R658" s="11"/>
      <c r="S658" s="11"/>
      <c r="T658" s="11"/>
      <c r="U658" s="11"/>
      <c r="V658" s="11"/>
      <c r="W658" s="11"/>
      <c r="X658" s="11"/>
      <c r="Y658" s="11"/>
      <c r="Z658" s="12"/>
      <c r="AA658" s="12"/>
      <c r="AB658" s="12"/>
      <c r="AC658" s="12"/>
      <c r="AD658" s="12"/>
      <c r="AE658" s="12"/>
      <c r="AF658" s="12"/>
    </row>
    <row r="659" ht="46.5" customHeight="1">
      <c r="A659" s="1"/>
      <c r="B659" s="2"/>
      <c r="C659" s="2"/>
      <c r="D659" s="3"/>
      <c r="E659" s="3"/>
      <c r="F659" s="3"/>
      <c r="G659" s="3"/>
      <c r="H659" s="4"/>
      <c r="I659" s="5"/>
      <c r="J659" s="6"/>
      <c r="K659" s="7"/>
      <c r="L659" s="8"/>
      <c r="M659" s="9"/>
      <c r="N659" s="9"/>
      <c r="O659" s="9"/>
      <c r="P659" s="10"/>
      <c r="Q659" s="11"/>
      <c r="R659" s="11"/>
      <c r="S659" s="11"/>
      <c r="T659" s="11"/>
      <c r="U659" s="11"/>
      <c r="V659" s="11"/>
      <c r="W659" s="11"/>
      <c r="X659" s="11"/>
      <c r="Y659" s="11"/>
      <c r="Z659" s="12"/>
      <c r="AA659" s="12"/>
      <c r="AB659" s="12"/>
      <c r="AC659" s="12"/>
      <c r="AD659" s="12"/>
      <c r="AE659" s="12"/>
      <c r="AF659" s="12"/>
    </row>
    <row r="660" ht="46.5" customHeight="1">
      <c r="A660" s="1"/>
      <c r="B660" s="2"/>
      <c r="C660" s="2"/>
      <c r="D660" s="3"/>
      <c r="E660" s="3"/>
      <c r="F660" s="3"/>
      <c r="G660" s="3"/>
      <c r="H660" s="4"/>
      <c r="I660" s="5"/>
      <c r="J660" s="6"/>
      <c r="K660" s="7"/>
      <c r="L660" s="8"/>
      <c r="M660" s="9"/>
      <c r="N660" s="9"/>
      <c r="O660" s="9"/>
      <c r="P660" s="10"/>
      <c r="Q660" s="11"/>
      <c r="R660" s="11"/>
      <c r="S660" s="11"/>
      <c r="T660" s="11"/>
      <c r="U660" s="11"/>
      <c r="V660" s="11"/>
      <c r="W660" s="11"/>
      <c r="X660" s="11"/>
      <c r="Y660" s="11"/>
      <c r="Z660" s="12"/>
      <c r="AA660" s="12"/>
      <c r="AB660" s="12"/>
      <c r="AC660" s="12"/>
      <c r="AD660" s="12"/>
      <c r="AE660" s="12"/>
      <c r="AF660" s="12"/>
    </row>
    <row r="661" ht="46.5" customHeight="1">
      <c r="A661" s="1"/>
      <c r="B661" s="2"/>
      <c r="C661" s="2"/>
      <c r="D661" s="3"/>
      <c r="E661" s="3"/>
      <c r="F661" s="3"/>
      <c r="G661" s="3"/>
      <c r="H661" s="4"/>
      <c r="I661" s="5"/>
      <c r="J661" s="6"/>
      <c r="K661" s="7"/>
      <c r="L661" s="8"/>
      <c r="M661" s="9"/>
      <c r="N661" s="9"/>
      <c r="O661" s="9"/>
      <c r="P661" s="10"/>
      <c r="Q661" s="11"/>
      <c r="R661" s="11"/>
      <c r="S661" s="11"/>
      <c r="T661" s="11"/>
      <c r="U661" s="11"/>
      <c r="V661" s="11"/>
      <c r="W661" s="11"/>
      <c r="X661" s="11"/>
      <c r="Y661" s="11"/>
      <c r="Z661" s="12"/>
      <c r="AA661" s="12"/>
      <c r="AB661" s="12"/>
      <c r="AC661" s="12"/>
      <c r="AD661" s="12"/>
      <c r="AE661" s="12"/>
      <c r="AF661" s="12"/>
    </row>
    <row r="662" ht="46.5" customHeight="1">
      <c r="A662" s="1"/>
      <c r="B662" s="2"/>
      <c r="C662" s="2"/>
      <c r="D662" s="3"/>
      <c r="E662" s="3"/>
      <c r="F662" s="3"/>
      <c r="G662" s="3"/>
      <c r="H662" s="4"/>
      <c r="I662" s="5"/>
      <c r="J662" s="6"/>
      <c r="K662" s="7"/>
      <c r="L662" s="8"/>
      <c r="M662" s="9"/>
      <c r="N662" s="9"/>
      <c r="O662" s="9"/>
      <c r="P662" s="10"/>
      <c r="Q662" s="11"/>
      <c r="R662" s="11"/>
      <c r="S662" s="11"/>
      <c r="T662" s="11"/>
      <c r="U662" s="11"/>
      <c r="V662" s="11"/>
      <c r="W662" s="11"/>
      <c r="X662" s="11"/>
      <c r="Y662" s="11"/>
      <c r="Z662" s="12"/>
      <c r="AA662" s="12"/>
      <c r="AB662" s="12"/>
      <c r="AC662" s="12"/>
      <c r="AD662" s="12"/>
      <c r="AE662" s="12"/>
      <c r="AF662" s="12"/>
    </row>
    <row r="663" ht="46.5" customHeight="1">
      <c r="A663" s="1"/>
      <c r="B663" s="2"/>
      <c r="C663" s="2"/>
      <c r="D663" s="3"/>
      <c r="E663" s="3"/>
      <c r="F663" s="3"/>
      <c r="G663" s="3"/>
      <c r="H663" s="4"/>
      <c r="I663" s="5"/>
      <c r="J663" s="6"/>
      <c r="K663" s="7"/>
      <c r="L663" s="8"/>
      <c r="M663" s="9"/>
      <c r="N663" s="9"/>
      <c r="O663" s="9"/>
      <c r="P663" s="10"/>
      <c r="Q663" s="11"/>
      <c r="R663" s="11"/>
      <c r="S663" s="11"/>
      <c r="T663" s="11"/>
      <c r="U663" s="11"/>
      <c r="V663" s="11"/>
      <c r="W663" s="11"/>
      <c r="X663" s="11"/>
      <c r="Y663" s="11"/>
      <c r="Z663" s="12"/>
      <c r="AA663" s="12"/>
      <c r="AB663" s="12"/>
      <c r="AC663" s="12"/>
      <c r="AD663" s="12"/>
      <c r="AE663" s="12"/>
      <c r="AF663" s="12"/>
    </row>
    <row r="664" ht="46.5" customHeight="1">
      <c r="A664" s="1"/>
      <c r="B664" s="2"/>
      <c r="C664" s="2"/>
      <c r="D664" s="3"/>
      <c r="E664" s="3"/>
      <c r="F664" s="3"/>
      <c r="G664" s="3"/>
      <c r="H664" s="4"/>
      <c r="I664" s="5"/>
      <c r="J664" s="6"/>
      <c r="K664" s="7"/>
      <c r="L664" s="8"/>
      <c r="M664" s="9"/>
      <c r="N664" s="9"/>
      <c r="O664" s="9"/>
      <c r="P664" s="10"/>
      <c r="Q664" s="11"/>
      <c r="R664" s="11"/>
      <c r="S664" s="11"/>
      <c r="T664" s="11"/>
      <c r="U664" s="11"/>
      <c r="V664" s="11"/>
      <c r="W664" s="11"/>
      <c r="X664" s="11"/>
      <c r="Y664" s="11"/>
      <c r="Z664" s="12"/>
      <c r="AA664" s="12"/>
      <c r="AB664" s="12"/>
      <c r="AC664" s="12"/>
      <c r="AD664" s="12"/>
      <c r="AE664" s="12"/>
      <c r="AF664" s="12"/>
    </row>
    <row r="665" ht="46.5" customHeight="1">
      <c r="A665" s="1"/>
      <c r="B665" s="2"/>
      <c r="C665" s="2"/>
      <c r="D665" s="3"/>
      <c r="E665" s="3"/>
      <c r="F665" s="3"/>
      <c r="G665" s="3"/>
      <c r="H665" s="4"/>
      <c r="I665" s="5"/>
      <c r="J665" s="6"/>
      <c r="K665" s="7"/>
      <c r="L665" s="8"/>
      <c r="M665" s="9"/>
      <c r="N665" s="9"/>
      <c r="O665" s="9"/>
      <c r="P665" s="10"/>
      <c r="Q665" s="11"/>
      <c r="R665" s="11"/>
      <c r="S665" s="11"/>
      <c r="T665" s="11"/>
      <c r="U665" s="11"/>
      <c r="V665" s="11"/>
      <c r="W665" s="11"/>
      <c r="X665" s="11"/>
      <c r="Y665" s="11"/>
      <c r="Z665" s="12"/>
      <c r="AA665" s="12"/>
      <c r="AB665" s="12"/>
      <c r="AC665" s="12"/>
      <c r="AD665" s="12"/>
      <c r="AE665" s="12"/>
      <c r="AF665" s="12"/>
    </row>
    <row r="666" ht="46.5" customHeight="1">
      <c r="A666" s="1"/>
      <c r="B666" s="2"/>
      <c r="C666" s="2"/>
      <c r="D666" s="3"/>
      <c r="E666" s="3"/>
      <c r="F666" s="3"/>
      <c r="G666" s="3"/>
      <c r="H666" s="4"/>
      <c r="I666" s="5"/>
      <c r="J666" s="6"/>
      <c r="K666" s="7"/>
      <c r="L666" s="8"/>
      <c r="M666" s="9"/>
      <c r="N666" s="9"/>
      <c r="O666" s="9"/>
      <c r="P666" s="10"/>
      <c r="Q666" s="11"/>
      <c r="R666" s="11"/>
      <c r="S666" s="11"/>
      <c r="T666" s="11"/>
      <c r="U666" s="11"/>
      <c r="V666" s="11"/>
      <c r="W666" s="11"/>
      <c r="X666" s="11"/>
      <c r="Y666" s="11"/>
      <c r="Z666" s="12"/>
      <c r="AA666" s="12"/>
      <c r="AB666" s="12"/>
      <c r="AC666" s="12"/>
      <c r="AD666" s="12"/>
      <c r="AE666" s="12"/>
      <c r="AF666" s="12"/>
    </row>
    <row r="667" ht="46.5" customHeight="1">
      <c r="A667" s="1"/>
      <c r="B667" s="2"/>
      <c r="C667" s="2"/>
      <c r="D667" s="3"/>
      <c r="E667" s="3"/>
      <c r="F667" s="3"/>
      <c r="G667" s="3"/>
      <c r="H667" s="4"/>
      <c r="I667" s="5"/>
      <c r="J667" s="6"/>
      <c r="K667" s="7"/>
      <c r="L667" s="8"/>
      <c r="M667" s="9"/>
      <c r="N667" s="9"/>
      <c r="O667" s="9"/>
      <c r="P667" s="10"/>
      <c r="Q667" s="11"/>
      <c r="R667" s="11"/>
      <c r="S667" s="11"/>
      <c r="T667" s="11"/>
      <c r="U667" s="11"/>
      <c r="V667" s="11"/>
      <c r="W667" s="11"/>
      <c r="X667" s="11"/>
      <c r="Y667" s="11"/>
      <c r="Z667" s="12"/>
      <c r="AA667" s="12"/>
      <c r="AB667" s="12"/>
      <c r="AC667" s="12"/>
      <c r="AD667" s="12"/>
      <c r="AE667" s="12"/>
      <c r="AF667" s="12"/>
    </row>
    <row r="668" ht="46.5" customHeight="1">
      <c r="A668" s="1"/>
      <c r="B668" s="2"/>
      <c r="C668" s="2"/>
      <c r="D668" s="3"/>
      <c r="E668" s="3"/>
      <c r="F668" s="3"/>
      <c r="G668" s="3"/>
      <c r="H668" s="4"/>
      <c r="I668" s="5"/>
      <c r="J668" s="6"/>
      <c r="K668" s="7"/>
      <c r="L668" s="8"/>
      <c r="M668" s="9"/>
      <c r="N668" s="9"/>
      <c r="O668" s="9"/>
      <c r="P668" s="10"/>
      <c r="Q668" s="11"/>
      <c r="R668" s="11"/>
      <c r="S668" s="11"/>
      <c r="T668" s="11"/>
      <c r="U668" s="11"/>
      <c r="V668" s="11"/>
      <c r="W668" s="11"/>
      <c r="X668" s="11"/>
      <c r="Y668" s="11"/>
      <c r="Z668" s="12"/>
      <c r="AA668" s="12"/>
      <c r="AB668" s="12"/>
      <c r="AC668" s="12"/>
      <c r="AD668" s="12"/>
      <c r="AE668" s="12"/>
      <c r="AF668" s="12"/>
    </row>
    <row r="669" ht="46.5" customHeight="1">
      <c r="A669" s="1"/>
      <c r="B669" s="2"/>
      <c r="C669" s="2"/>
      <c r="D669" s="3"/>
      <c r="E669" s="3"/>
      <c r="F669" s="3"/>
      <c r="G669" s="3"/>
      <c r="H669" s="4"/>
      <c r="I669" s="5"/>
      <c r="J669" s="6"/>
      <c r="K669" s="7"/>
      <c r="L669" s="8"/>
      <c r="M669" s="9"/>
      <c r="N669" s="9"/>
      <c r="O669" s="9"/>
      <c r="P669" s="10"/>
      <c r="Q669" s="11"/>
      <c r="R669" s="11"/>
      <c r="S669" s="11"/>
      <c r="T669" s="11"/>
      <c r="U669" s="11"/>
      <c r="V669" s="11"/>
      <c r="W669" s="11"/>
      <c r="X669" s="11"/>
      <c r="Y669" s="11"/>
      <c r="Z669" s="12"/>
      <c r="AA669" s="12"/>
      <c r="AB669" s="12"/>
      <c r="AC669" s="12"/>
      <c r="AD669" s="12"/>
      <c r="AE669" s="12"/>
      <c r="AF669" s="12"/>
    </row>
    <row r="670" ht="46.5" customHeight="1">
      <c r="A670" s="1"/>
      <c r="B670" s="2"/>
      <c r="C670" s="2"/>
      <c r="D670" s="3"/>
      <c r="E670" s="3"/>
      <c r="F670" s="3"/>
      <c r="G670" s="3"/>
      <c r="H670" s="4"/>
      <c r="I670" s="5"/>
      <c r="J670" s="6"/>
      <c r="K670" s="7"/>
      <c r="L670" s="8"/>
      <c r="M670" s="9"/>
      <c r="N670" s="9"/>
      <c r="O670" s="9"/>
      <c r="P670" s="10"/>
      <c r="Q670" s="11"/>
      <c r="R670" s="11"/>
      <c r="S670" s="11"/>
      <c r="T670" s="11"/>
      <c r="U670" s="11"/>
      <c r="V670" s="11"/>
      <c r="W670" s="11"/>
      <c r="X670" s="11"/>
      <c r="Y670" s="11"/>
      <c r="Z670" s="12"/>
      <c r="AA670" s="12"/>
      <c r="AB670" s="12"/>
      <c r="AC670" s="12"/>
      <c r="AD670" s="12"/>
      <c r="AE670" s="12"/>
      <c r="AF670" s="12"/>
    </row>
    <row r="671" ht="46.5" customHeight="1">
      <c r="A671" s="1"/>
      <c r="B671" s="2"/>
      <c r="C671" s="2"/>
      <c r="D671" s="3"/>
      <c r="E671" s="3"/>
      <c r="F671" s="3"/>
      <c r="G671" s="3"/>
      <c r="H671" s="4"/>
      <c r="I671" s="5"/>
      <c r="J671" s="6"/>
      <c r="K671" s="7"/>
      <c r="L671" s="8"/>
      <c r="M671" s="9"/>
      <c r="N671" s="9"/>
      <c r="O671" s="9"/>
      <c r="P671" s="10"/>
      <c r="Q671" s="11"/>
      <c r="R671" s="11"/>
      <c r="S671" s="11"/>
      <c r="T671" s="11"/>
      <c r="U671" s="11"/>
      <c r="V671" s="11"/>
      <c r="W671" s="11"/>
      <c r="X671" s="11"/>
      <c r="Y671" s="11"/>
      <c r="Z671" s="12"/>
      <c r="AA671" s="12"/>
      <c r="AB671" s="12"/>
      <c r="AC671" s="12"/>
      <c r="AD671" s="12"/>
      <c r="AE671" s="12"/>
      <c r="AF671" s="12"/>
    </row>
    <row r="672" ht="46.5" customHeight="1">
      <c r="A672" s="1"/>
      <c r="B672" s="2"/>
      <c r="C672" s="2"/>
      <c r="D672" s="3"/>
      <c r="E672" s="3"/>
      <c r="F672" s="3"/>
      <c r="G672" s="3"/>
      <c r="H672" s="4"/>
      <c r="I672" s="5"/>
      <c r="J672" s="6"/>
      <c r="K672" s="7"/>
      <c r="L672" s="8"/>
      <c r="M672" s="9"/>
      <c r="N672" s="9"/>
      <c r="O672" s="9"/>
      <c r="P672" s="10"/>
      <c r="Q672" s="11"/>
      <c r="R672" s="11"/>
      <c r="S672" s="11"/>
      <c r="T672" s="11"/>
      <c r="U672" s="11"/>
      <c r="V672" s="11"/>
      <c r="W672" s="11"/>
      <c r="X672" s="11"/>
      <c r="Y672" s="11"/>
      <c r="Z672" s="12"/>
      <c r="AA672" s="12"/>
      <c r="AB672" s="12"/>
      <c r="AC672" s="12"/>
      <c r="AD672" s="12"/>
      <c r="AE672" s="12"/>
      <c r="AF672" s="12"/>
    </row>
    <row r="673" ht="46.5" customHeight="1">
      <c r="A673" s="1"/>
      <c r="B673" s="2"/>
      <c r="C673" s="2"/>
      <c r="D673" s="3"/>
      <c r="E673" s="3"/>
      <c r="F673" s="3"/>
      <c r="G673" s="3"/>
      <c r="H673" s="4"/>
      <c r="I673" s="5"/>
      <c r="J673" s="6"/>
      <c r="K673" s="7"/>
      <c r="L673" s="8"/>
      <c r="M673" s="9"/>
      <c r="N673" s="9"/>
      <c r="O673" s="9"/>
      <c r="P673" s="10"/>
      <c r="Q673" s="11"/>
      <c r="R673" s="11"/>
      <c r="S673" s="11"/>
      <c r="T673" s="11"/>
      <c r="U673" s="11"/>
      <c r="V673" s="11"/>
      <c r="W673" s="11"/>
      <c r="X673" s="11"/>
      <c r="Y673" s="11"/>
      <c r="Z673" s="12"/>
      <c r="AA673" s="12"/>
      <c r="AB673" s="12"/>
      <c r="AC673" s="12"/>
      <c r="AD673" s="12"/>
      <c r="AE673" s="12"/>
      <c r="AF673" s="12"/>
    </row>
    <row r="674" ht="46.5" customHeight="1">
      <c r="A674" s="1"/>
      <c r="B674" s="2"/>
      <c r="C674" s="2"/>
      <c r="D674" s="3"/>
      <c r="E674" s="3"/>
      <c r="F674" s="3"/>
      <c r="G674" s="3"/>
      <c r="H674" s="4"/>
      <c r="I674" s="5"/>
      <c r="J674" s="6"/>
      <c r="K674" s="7"/>
      <c r="L674" s="8"/>
      <c r="M674" s="9"/>
      <c r="N674" s="9"/>
      <c r="O674" s="9"/>
      <c r="P674" s="10"/>
      <c r="Q674" s="11"/>
      <c r="R674" s="11"/>
      <c r="S674" s="11"/>
      <c r="T674" s="11"/>
      <c r="U674" s="11"/>
      <c r="V674" s="11"/>
      <c r="W674" s="11"/>
      <c r="X674" s="11"/>
      <c r="Y674" s="11"/>
      <c r="Z674" s="12"/>
      <c r="AA674" s="12"/>
      <c r="AB674" s="12"/>
      <c r="AC674" s="12"/>
      <c r="AD674" s="12"/>
      <c r="AE674" s="12"/>
      <c r="AF674" s="12"/>
    </row>
    <row r="675" ht="46.5" customHeight="1">
      <c r="A675" s="1"/>
      <c r="B675" s="2"/>
      <c r="C675" s="2"/>
      <c r="D675" s="3"/>
      <c r="E675" s="3"/>
      <c r="F675" s="3"/>
      <c r="G675" s="3"/>
      <c r="H675" s="4"/>
      <c r="I675" s="5"/>
      <c r="J675" s="6"/>
      <c r="K675" s="7"/>
      <c r="L675" s="8"/>
      <c r="M675" s="9"/>
      <c r="N675" s="9"/>
      <c r="O675" s="9"/>
      <c r="P675" s="10"/>
      <c r="Q675" s="11"/>
      <c r="R675" s="11"/>
      <c r="S675" s="11"/>
      <c r="T675" s="11"/>
      <c r="U675" s="11"/>
      <c r="V675" s="11"/>
      <c r="W675" s="11"/>
      <c r="X675" s="11"/>
      <c r="Y675" s="11"/>
      <c r="Z675" s="12"/>
      <c r="AA675" s="12"/>
      <c r="AB675" s="12"/>
      <c r="AC675" s="12"/>
      <c r="AD675" s="12"/>
      <c r="AE675" s="12"/>
      <c r="AF675" s="12"/>
    </row>
    <row r="676" ht="46.5" customHeight="1">
      <c r="A676" s="1"/>
      <c r="B676" s="2"/>
      <c r="C676" s="2"/>
      <c r="D676" s="3"/>
      <c r="E676" s="3"/>
      <c r="F676" s="3"/>
      <c r="G676" s="3"/>
      <c r="H676" s="4"/>
      <c r="I676" s="5"/>
      <c r="J676" s="6"/>
      <c r="K676" s="7"/>
      <c r="L676" s="8"/>
      <c r="M676" s="9"/>
      <c r="N676" s="9"/>
      <c r="O676" s="9"/>
      <c r="P676" s="10"/>
      <c r="Q676" s="11"/>
      <c r="R676" s="11"/>
      <c r="S676" s="11"/>
      <c r="T676" s="11"/>
      <c r="U676" s="11"/>
      <c r="V676" s="11"/>
      <c r="W676" s="11"/>
      <c r="X676" s="11"/>
      <c r="Y676" s="11"/>
      <c r="Z676" s="12"/>
      <c r="AA676" s="12"/>
      <c r="AB676" s="12"/>
      <c r="AC676" s="12"/>
      <c r="AD676" s="12"/>
      <c r="AE676" s="12"/>
      <c r="AF676" s="12"/>
    </row>
    <row r="677" ht="46.5" customHeight="1">
      <c r="A677" s="1"/>
      <c r="B677" s="2"/>
      <c r="C677" s="2"/>
      <c r="D677" s="3"/>
      <c r="E677" s="3"/>
      <c r="F677" s="3"/>
      <c r="G677" s="3"/>
      <c r="H677" s="4"/>
      <c r="I677" s="5"/>
      <c r="J677" s="6"/>
      <c r="K677" s="7"/>
      <c r="L677" s="8"/>
      <c r="M677" s="9"/>
      <c r="N677" s="9"/>
      <c r="O677" s="9"/>
      <c r="P677" s="10"/>
      <c r="Q677" s="11"/>
      <c r="R677" s="11"/>
      <c r="S677" s="11"/>
      <c r="T677" s="11"/>
      <c r="U677" s="11"/>
      <c r="V677" s="11"/>
      <c r="W677" s="11"/>
      <c r="X677" s="11"/>
      <c r="Y677" s="11"/>
      <c r="Z677" s="12"/>
      <c r="AA677" s="12"/>
      <c r="AB677" s="12"/>
      <c r="AC677" s="12"/>
      <c r="AD677" s="12"/>
      <c r="AE677" s="12"/>
      <c r="AF677" s="12"/>
    </row>
    <row r="678" ht="46.5" customHeight="1">
      <c r="A678" s="1"/>
      <c r="B678" s="2"/>
      <c r="C678" s="2"/>
      <c r="D678" s="3"/>
      <c r="E678" s="3"/>
      <c r="F678" s="3"/>
      <c r="G678" s="3"/>
      <c r="H678" s="4"/>
      <c r="I678" s="5"/>
      <c r="J678" s="6"/>
      <c r="K678" s="7"/>
      <c r="L678" s="8"/>
      <c r="M678" s="9"/>
      <c r="N678" s="9"/>
      <c r="O678" s="9"/>
      <c r="P678" s="10"/>
      <c r="Q678" s="11"/>
      <c r="R678" s="11"/>
      <c r="S678" s="11"/>
      <c r="T678" s="11"/>
      <c r="U678" s="11"/>
      <c r="V678" s="11"/>
      <c r="W678" s="11"/>
      <c r="X678" s="11"/>
      <c r="Y678" s="11"/>
      <c r="Z678" s="12"/>
      <c r="AA678" s="12"/>
      <c r="AB678" s="12"/>
      <c r="AC678" s="12"/>
      <c r="AD678" s="12"/>
      <c r="AE678" s="12"/>
      <c r="AF678" s="12"/>
    </row>
    <row r="679" ht="46.5" customHeight="1">
      <c r="A679" s="1"/>
      <c r="B679" s="2"/>
      <c r="C679" s="2"/>
      <c r="D679" s="3"/>
      <c r="E679" s="3"/>
      <c r="F679" s="3"/>
      <c r="G679" s="3"/>
      <c r="H679" s="4"/>
      <c r="I679" s="5"/>
      <c r="J679" s="6"/>
      <c r="K679" s="7"/>
      <c r="L679" s="8"/>
      <c r="M679" s="9"/>
      <c r="N679" s="9"/>
      <c r="O679" s="9"/>
      <c r="P679" s="10"/>
      <c r="Q679" s="11"/>
      <c r="R679" s="11"/>
      <c r="S679" s="11"/>
      <c r="T679" s="11"/>
      <c r="U679" s="11"/>
      <c r="V679" s="11"/>
      <c r="W679" s="11"/>
      <c r="X679" s="11"/>
      <c r="Y679" s="11"/>
      <c r="Z679" s="12"/>
      <c r="AA679" s="12"/>
      <c r="AB679" s="12"/>
      <c r="AC679" s="12"/>
      <c r="AD679" s="12"/>
      <c r="AE679" s="12"/>
      <c r="AF679" s="12"/>
    </row>
    <row r="680" ht="46.5" customHeight="1">
      <c r="A680" s="1"/>
      <c r="B680" s="2"/>
      <c r="C680" s="2"/>
      <c r="D680" s="3"/>
      <c r="E680" s="3"/>
      <c r="F680" s="3"/>
      <c r="G680" s="3"/>
      <c r="H680" s="4"/>
      <c r="I680" s="5"/>
      <c r="J680" s="6"/>
      <c r="K680" s="7"/>
      <c r="L680" s="8"/>
      <c r="M680" s="9"/>
      <c r="N680" s="9"/>
      <c r="O680" s="9"/>
      <c r="P680" s="10"/>
      <c r="Q680" s="11"/>
      <c r="R680" s="11"/>
      <c r="S680" s="11"/>
      <c r="T680" s="11"/>
      <c r="U680" s="11"/>
      <c r="V680" s="11"/>
      <c r="W680" s="11"/>
      <c r="X680" s="11"/>
      <c r="Y680" s="11"/>
      <c r="Z680" s="12"/>
      <c r="AA680" s="12"/>
      <c r="AB680" s="12"/>
      <c r="AC680" s="12"/>
      <c r="AD680" s="12"/>
      <c r="AE680" s="12"/>
      <c r="AF680" s="12"/>
    </row>
    <row r="681" ht="46.5" customHeight="1">
      <c r="A681" s="1"/>
      <c r="B681" s="2"/>
      <c r="C681" s="2"/>
      <c r="D681" s="3"/>
      <c r="E681" s="3"/>
      <c r="F681" s="3"/>
      <c r="G681" s="3"/>
      <c r="H681" s="4"/>
      <c r="I681" s="5"/>
      <c r="J681" s="6"/>
      <c r="K681" s="7"/>
      <c r="L681" s="8"/>
      <c r="M681" s="9"/>
      <c r="N681" s="9"/>
      <c r="O681" s="9"/>
      <c r="P681" s="10"/>
      <c r="Q681" s="11"/>
      <c r="R681" s="11"/>
      <c r="S681" s="11"/>
      <c r="T681" s="11"/>
      <c r="U681" s="11"/>
      <c r="V681" s="11"/>
      <c r="W681" s="11"/>
      <c r="X681" s="11"/>
      <c r="Y681" s="11"/>
      <c r="Z681" s="12"/>
      <c r="AA681" s="12"/>
      <c r="AB681" s="12"/>
      <c r="AC681" s="12"/>
      <c r="AD681" s="12"/>
      <c r="AE681" s="12"/>
      <c r="AF681" s="12"/>
    </row>
    <row r="682" ht="46.5" customHeight="1">
      <c r="A682" s="1"/>
      <c r="B682" s="2"/>
      <c r="C682" s="2"/>
      <c r="D682" s="3"/>
      <c r="E682" s="3"/>
      <c r="F682" s="3"/>
      <c r="G682" s="3"/>
      <c r="H682" s="4"/>
      <c r="I682" s="5"/>
      <c r="J682" s="6"/>
      <c r="K682" s="7"/>
      <c r="L682" s="8"/>
      <c r="M682" s="9"/>
      <c r="N682" s="9"/>
      <c r="O682" s="9"/>
      <c r="P682" s="10"/>
      <c r="Q682" s="11"/>
      <c r="R682" s="11"/>
      <c r="S682" s="11"/>
      <c r="T682" s="11"/>
      <c r="U682" s="11"/>
      <c r="V682" s="11"/>
      <c r="W682" s="11"/>
      <c r="X682" s="11"/>
      <c r="Y682" s="11"/>
      <c r="Z682" s="12"/>
      <c r="AA682" s="12"/>
      <c r="AB682" s="12"/>
      <c r="AC682" s="12"/>
      <c r="AD682" s="12"/>
      <c r="AE682" s="12"/>
      <c r="AF682" s="12"/>
    </row>
    <row r="683" ht="46.5" customHeight="1">
      <c r="A683" s="1"/>
      <c r="B683" s="2"/>
      <c r="C683" s="2"/>
      <c r="D683" s="3"/>
      <c r="E683" s="3"/>
      <c r="F683" s="3"/>
      <c r="G683" s="3"/>
      <c r="H683" s="4"/>
      <c r="I683" s="5"/>
      <c r="J683" s="6"/>
      <c r="K683" s="7"/>
      <c r="L683" s="8"/>
      <c r="M683" s="9"/>
      <c r="N683" s="9"/>
      <c r="O683" s="9"/>
      <c r="P683" s="10"/>
      <c r="Q683" s="11"/>
      <c r="R683" s="11"/>
      <c r="S683" s="11"/>
      <c r="T683" s="11"/>
      <c r="U683" s="11"/>
      <c r="V683" s="11"/>
      <c r="W683" s="11"/>
      <c r="X683" s="11"/>
      <c r="Y683" s="11"/>
      <c r="Z683" s="12"/>
      <c r="AA683" s="12"/>
      <c r="AB683" s="12"/>
      <c r="AC683" s="12"/>
      <c r="AD683" s="12"/>
      <c r="AE683" s="12"/>
      <c r="AF683" s="12"/>
    </row>
    <row r="684" ht="46.5" customHeight="1">
      <c r="A684" s="1"/>
      <c r="B684" s="2"/>
      <c r="C684" s="2"/>
      <c r="D684" s="3"/>
      <c r="E684" s="3"/>
      <c r="F684" s="3"/>
      <c r="G684" s="3"/>
      <c r="H684" s="4"/>
      <c r="I684" s="5"/>
      <c r="J684" s="6"/>
      <c r="K684" s="7"/>
      <c r="L684" s="8"/>
      <c r="M684" s="9"/>
      <c r="N684" s="9"/>
      <c r="O684" s="9"/>
      <c r="P684" s="10"/>
      <c r="Q684" s="11"/>
      <c r="R684" s="11"/>
      <c r="S684" s="11"/>
      <c r="T684" s="11"/>
      <c r="U684" s="11"/>
      <c r="V684" s="11"/>
      <c r="W684" s="11"/>
      <c r="X684" s="11"/>
      <c r="Y684" s="11"/>
      <c r="Z684" s="12"/>
      <c r="AA684" s="12"/>
      <c r="AB684" s="12"/>
      <c r="AC684" s="12"/>
      <c r="AD684" s="12"/>
      <c r="AE684" s="12"/>
      <c r="AF684" s="12"/>
    </row>
    <row r="685" ht="46.5" customHeight="1">
      <c r="A685" s="1"/>
      <c r="B685" s="2"/>
      <c r="C685" s="2"/>
      <c r="D685" s="3"/>
      <c r="E685" s="3"/>
      <c r="F685" s="3"/>
      <c r="G685" s="3"/>
      <c r="H685" s="4"/>
      <c r="I685" s="5"/>
      <c r="J685" s="6"/>
      <c r="K685" s="7"/>
      <c r="L685" s="8"/>
      <c r="M685" s="9"/>
      <c r="N685" s="9"/>
      <c r="O685" s="9"/>
      <c r="P685" s="10"/>
      <c r="Q685" s="11"/>
      <c r="R685" s="11"/>
      <c r="S685" s="11"/>
      <c r="T685" s="11"/>
      <c r="U685" s="11"/>
      <c r="V685" s="11"/>
      <c r="W685" s="11"/>
      <c r="X685" s="11"/>
      <c r="Y685" s="11"/>
      <c r="Z685" s="12"/>
      <c r="AA685" s="12"/>
      <c r="AB685" s="12"/>
      <c r="AC685" s="12"/>
      <c r="AD685" s="12"/>
      <c r="AE685" s="12"/>
      <c r="AF685" s="12"/>
    </row>
    <row r="686" ht="46.5" customHeight="1">
      <c r="A686" s="1"/>
      <c r="B686" s="2"/>
      <c r="C686" s="2"/>
      <c r="D686" s="3"/>
      <c r="E686" s="3"/>
      <c r="F686" s="3"/>
      <c r="G686" s="3"/>
      <c r="H686" s="4"/>
      <c r="I686" s="5"/>
      <c r="J686" s="6"/>
      <c r="K686" s="7"/>
      <c r="L686" s="8"/>
      <c r="M686" s="9"/>
      <c r="N686" s="9"/>
      <c r="O686" s="9"/>
      <c r="P686" s="10"/>
      <c r="Q686" s="11"/>
      <c r="R686" s="11"/>
      <c r="S686" s="11"/>
      <c r="T686" s="11"/>
      <c r="U686" s="11"/>
      <c r="V686" s="11"/>
      <c r="W686" s="11"/>
      <c r="X686" s="11"/>
      <c r="Y686" s="11"/>
      <c r="Z686" s="12"/>
      <c r="AA686" s="12"/>
      <c r="AB686" s="12"/>
      <c r="AC686" s="12"/>
      <c r="AD686" s="12"/>
      <c r="AE686" s="12"/>
      <c r="AF686" s="12"/>
    </row>
    <row r="687" ht="46.5" customHeight="1">
      <c r="A687" s="1"/>
      <c r="B687" s="2"/>
      <c r="C687" s="2"/>
      <c r="D687" s="3"/>
      <c r="E687" s="3"/>
      <c r="F687" s="3"/>
      <c r="G687" s="3"/>
      <c r="H687" s="4"/>
      <c r="I687" s="5"/>
      <c r="J687" s="6"/>
      <c r="K687" s="7"/>
      <c r="L687" s="8"/>
      <c r="M687" s="9"/>
      <c r="N687" s="9"/>
      <c r="O687" s="9"/>
      <c r="P687" s="10"/>
      <c r="Q687" s="11"/>
      <c r="R687" s="11"/>
      <c r="S687" s="11"/>
      <c r="T687" s="11"/>
      <c r="U687" s="11"/>
      <c r="V687" s="11"/>
      <c r="W687" s="11"/>
      <c r="X687" s="11"/>
      <c r="Y687" s="11"/>
      <c r="Z687" s="12"/>
      <c r="AA687" s="12"/>
      <c r="AB687" s="12"/>
      <c r="AC687" s="12"/>
      <c r="AD687" s="12"/>
      <c r="AE687" s="12"/>
      <c r="AF687" s="12"/>
    </row>
    <row r="688" ht="46.5" customHeight="1">
      <c r="A688" s="1"/>
      <c r="B688" s="2"/>
      <c r="C688" s="2"/>
      <c r="D688" s="3"/>
      <c r="E688" s="3"/>
      <c r="F688" s="3"/>
      <c r="G688" s="3"/>
      <c r="H688" s="4"/>
      <c r="I688" s="5"/>
      <c r="J688" s="6"/>
      <c r="K688" s="7"/>
      <c r="L688" s="8"/>
      <c r="M688" s="9"/>
      <c r="N688" s="9"/>
      <c r="O688" s="9"/>
      <c r="P688" s="10"/>
      <c r="Q688" s="11"/>
      <c r="R688" s="11"/>
      <c r="S688" s="11"/>
      <c r="T688" s="11"/>
      <c r="U688" s="11"/>
      <c r="V688" s="11"/>
      <c r="W688" s="11"/>
      <c r="X688" s="11"/>
      <c r="Y688" s="11"/>
      <c r="Z688" s="12"/>
      <c r="AA688" s="12"/>
      <c r="AB688" s="12"/>
      <c r="AC688" s="12"/>
      <c r="AD688" s="12"/>
      <c r="AE688" s="12"/>
      <c r="AF688" s="12"/>
    </row>
    <row r="689" ht="46.5" customHeight="1">
      <c r="A689" s="1"/>
      <c r="B689" s="2"/>
      <c r="C689" s="2"/>
      <c r="D689" s="3"/>
      <c r="E689" s="3"/>
      <c r="F689" s="3"/>
      <c r="G689" s="3"/>
      <c r="H689" s="4"/>
      <c r="I689" s="5"/>
      <c r="J689" s="6"/>
      <c r="K689" s="7"/>
      <c r="L689" s="8"/>
      <c r="M689" s="9"/>
      <c r="N689" s="9"/>
      <c r="O689" s="9"/>
      <c r="P689" s="10"/>
      <c r="Q689" s="11"/>
      <c r="R689" s="11"/>
      <c r="S689" s="11"/>
      <c r="T689" s="11"/>
      <c r="U689" s="11"/>
      <c r="V689" s="11"/>
      <c r="W689" s="11"/>
      <c r="X689" s="11"/>
      <c r="Y689" s="11"/>
      <c r="Z689" s="12"/>
      <c r="AA689" s="12"/>
      <c r="AB689" s="12"/>
      <c r="AC689" s="12"/>
      <c r="AD689" s="12"/>
      <c r="AE689" s="12"/>
      <c r="AF689" s="12"/>
    </row>
    <row r="690" ht="46.5" customHeight="1">
      <c r="A690" s="1"/>
      <c r="B690" s="2"/>
      <c r="C690" s="2"/>
      <c r="D690" s="3"/>
      <c r="E690" s="3"/>
      <c r="F690" s="3"/>
      <c r="G690" s="3"/>
      <c r="H690" s="4"/>
      <c r="I690" s="5"/>
      <c r="J690" s="6"/>
      <c r="K690" s="7"/>
      <c r="L690" s="8"/>
      <c r="M690" s="9"/>
      <c r="N690" s="9"/>
      <c r="O690" s="9"/>
      <c r="P690" s="10"/>
      <c r="Q690" s="11"/>
      <c r="R690" s="11"/>
      <c r="S690" s="11"/>
      <c r="T690" s="11"/>
      <c r="U690" s="11"/>
      <c r="V690" s="11"/>
      <c r="W690" s="11"/>
      <c r="X690" s="11"/>
      <c r="Y690" s="11"/>
      <c r="Z690" s="12"/>
      <c r="AA690" s="12"/>
      <c r="AB690" s="12"/>
      <c r="AC690" s="12"/>
      <c r="AD690" s="12"/>
      <c r="AE690" s="12"/>
      <c r="AF690" s="12"/>
    </row>
    <row r="691" ht="46.5" customHeight="1">
      <c r="A691" s="1"/>
      <c r="B691" s="2"/>
      <c r="C691" s="2"/>
      <c r="D691" s="3"/>
      <c r="E691" s="3"/>
      <c r="F691" s="3"/>
      <c r="G691" s="3"/>
      <c r="H691" s="4"/>
      <c r="I691" s="5"/>
      <c r="J691" s="6"/>
      <c r="K691" s="7"/>
      <c r="L691" s="8"/>
      <c r="M691" s="9"/>
      <c r="N691" s="9"/>
      <c r="O691" s="9"/>
      <c r="P691" s="10"/>
      <c r="Q691" s="11"/>
      <c r="R691" s="11"/>
      <c r="S691" s="11"/>
      <c r="T691" s="11"/>
      <c r="U691" s="11"/>
      <c r="V691" s="11"/>
      <c r="W691" s="11"/>
      <c r="X691" s="11"/>
      <c r="Y691" s="11"/>
      <c r="Z691" s="12"/>
      <c r="AA691" s="12"/>
      <c r="AB691" s="12"/>
      <c r="AC691" s="12"/>
      <c r="AD691" s="12"/>
      <c r="AE691" s="12"/>
      <c r="AF691" s="12"/>
    </row>
    <row r="692" ht="46.5" customHeight="1">
      <c r="A692" s="1"/>
      <c r="B692" s="2"/>
      <c r="C692" s="2"/>
      <c r="D692" s="3"/>
      <c r="E692" s="3"/>
      <c r="F692" s="3"/>
      <c r="G692" s="3"/>
      <c r="H692" s="4"/>
      <c r="I692" s="5"/>
      <c r="J692" s="6"/>
      <c r="K692" s="7"/>
      <c r="L692" s="8"/>
      <c r="M692" s="9"/>
      <c r="N692" s="9"/>
      <c r="O692" s="9"/>
      <c r="P692" s="10"/>
      <c r="Q692" s="11"/>
      <c r="R692" s="11"/>
      <c r="S692" s="11"/>
      <c r="T692" s="11"/>
      <c r="U692" s="11"/>
      <c r="V692" s="11"/>
      <c r="W692" s="11"/>
      <c r="X692" s="11"/>
      <c r="Y692" s="11"/>
      <c r="Z692" s="12"/>
      <c r="AA692" s="12"/>
      <c r="AB692" s="12"/>
      <c r="AC692" s="12"/>
      <c r="AD692" s="12"/>
      <c r="AE692" s="12"/>
      <c r="AF692" s="12"/>
    </row>
    <row r="693" ht="46.5" customHeight="1">
      <c r="A693" s="1"/>
      <c r="B693" s="2"/>
      <c r="C693" s="2"/>
      <c r="D693" s="3"/>
      <c r="E693" s="3"/>
      <c r="F693" s="3"/>
      <c r="G693" s="3"/>
      <c r="H693" s="4"/>
      <c r="I693" s="5"/>
      <c r="J693" s="6"/>
      <c r="K693" s="7"/>
      <c r="L693" s="8"/>
      <c r="M693" s="9"/>
      <c r="N693" s="9"/>
      <c r="O693" s="9"/>
      <c r="P693" s="10"/>
      <c r="Q693" s="11"/>
      <c r="R693" s="11"/>
      <c r="S693" s="11"/>
      <c r="T693" s="11"/>
      <c r="U693" s="11"/>
      <c r="V693" s="11"/>
      <c r="W693" s="11"/>
      <c r="X693" s="11"/>
      <c r="Y693" s="11"/>
      <c r="Z693" s="12"/>
      <c r="AA693" s="12"/>
      <c r="AB693" s="12"/>
      <c r="AC693" s="12"/>
      <c r="AD693" s="12"/>
      <c r="AE693" s="12"/>
      <c r="AF693" s="12"/>
    </row>
    <row r="694" ht="46.5" customHeight="1">
      <c r="A694" s="1"/>
      <c r="B694" s="2"/>
      <c r="C694" s="2"/>
      <c r="D694" s="3"/>
      <c r="E694" s="3"/>
      <c r="F694" s="3"/>
      <c r="G694" s="3"/>
      <c r="H694" s="4"/>
      <c r="I694" s="5"/>
      <c r="J694" s="6"/>
      <c r="K694" s="7"/>
      <c r="L694" s="8"/>
      <c r="M694" s="9"/>
      <c r="N694" s="9"/>
      <c r="O694" s="9"/>
      <c r="P694" s="10"/>
      <c r="Q694" s="11"/>
      <c r="R694" s="11"/>
      <c r="S694" s="11"/>
      <c r="T694" s="11"/>
      <c r="U694" s="11"/>
      <c r="V694" s="11"/>
      <c r="W694" s="11"/>
      <c r="X694" s="11"/>
      <c r="Y694" s="11"/>
      <c r="Z694" s="12"/>
      <c r="AA694" s="12"/>
      <c r="AB694" s="12"/>
      <c r="AC694" s="12"/>
      <c r="AD694" s="12"/>
      <c r="AE694" s="12"/>
      <c r="AF694" s="12"/>
    </row>
    <row r="695" ht="46.5" customHeight="1">
      <c r="A695" s="1"/>
      <c r="B695" s="2"/>
      <c r="C695" s="2"/>
      <c r="D695" s="3"/>
      <c r="E695" s="3"/>
      <c r="F695" s="3"/>
      <c r="G695" s="3"/>
      <c r="H695" s="4"/>
      <c r="I695" s="5"/>
      <c r="J695" s="6"/>
      <c r="K695" s="7"/>
      <c r="L695" s="8"/>
      <c r="M695" s="9"/>
      <c r="N695" s="9"/>
      <c r="O695" s="9"/>
      <c r="P695" s="10"/>
      <c r="Q695" s="11"/>
      <c r="R695" s="11"/>
      <c r="S695" s="11"/>
      <c r="T695" s="11"/>
      <c r="U695" s="11"/>
      <c r="V695" s="11"/>
      <c r="W695" s="11"/>
      <c r="X695" s="11"/>
      <c r="Y695" s="11"/>
      <c r="Z695" s="12"/>
      <c r="AA695" s="12"/>
      <c r="AB695" s="12"/>
      <c r="AC695" s="12"/>
      <c r="AD695" s="12"/>
      <c r="AE695" s="12"/>
      <c r="AF695" s="12"/>
    </row>
    <row r="696" ht="46.5" customHeight="1">
      <c r="A696" s="1"/>
      <c r="B696" s="2"/>
      <c r="C696" s="2"/>
      <c r="D696" s="3"/>
      <c r="E696" s="3"/>
      <c r="F696" s="3"/>
      <c r="G696" s="3"/>
      <c r="H696" s="4"/>
      <c r="I696" s="5"/>
      <c r="J696" s="6"/>
      <c r="K696" s="7"/>
      <c r="L696" s="8"/>
      <c r="M696" s="9"/>
      <c r="N696" s="9"/>
      <c r="O696" s="9"/>
      <c r="P696" s="10"/>
      <c r="Q696" s="11"/>
      <c r="R696" s="11"/>
      <c r="S696" s="11"/>
      <c r="T696" s="11"/>
      <c r="U696" s="11"/>
      <c r="V696" s="11"/>
      <c r="W696" s="11"/>
      <c r="X696" s="11"/>
      <c r="Y696" s="11"/>
      <c r="Z696" s="12"/>
      <c r="AA696" s="12"/>
      <c r="AB696" s="12"/>
      <c r="AC696" s="12"/>
      <c r="AD696" s="12"/>
      <c r="AE696" s="12"/>
      <c r="AF696" s="12"/>
    </row>
    <row r="697" ht="46.5" customHeight="1">
      <c r="A697" s="1"/>
      <c r="B697" s="2"/>
      <c r="C697" s="2"/>
      <c r="D697" s="3"/>
      <c r="E697" s="3"/>
      <c r="F697" s="3"/>
      <c r="G697" s="3"/>
      <c r="H697" s="4"/>
      <c r="I697" s="5"/>
      <c r="J697" s="6"/>
      <c r="K697" s="7"/>
      <c r="L697" s="8"/>
      <c r="M697" s="9"/>
      <c r="N697" s="9"/>
      <c r="O697" s="9"/>
      <c r="P697" s="10"/>
      <c r="Q697" s="11"/>
      <c r="R697" s="11"/>
      <c r="S697" s="11"/>
      <c r="T697" s="11"/>
      <c r="U697" s="11"/>
      <c r="V697" s="11"/>
      <c r="W697" s="11"/>
      <c r="X697" s="11"/>
      <c r="Y697" s="11"/>
      <c r="Z697" s="12"/>
      <c r="AA697" s="12"/>
      <c r="AB697" s="12"/>
      <c r="AC697" s="12"/>
      <c r="AD697" s="12"/>
      <c r="AE697" s="12"/>
      <c r="AF697" s="12"/>
    </row>
    <row r="698" ht="46.5" customHeight="1">
      <c r="A698" s="1"/>
      <c r="B698" s="2"/>
      <c r="C698" s="2"/>
      <c r="D698" s="3"/>
      <c r="E698" s="3"/>
      <c r="F698" s="3"/>
      <c r="G698" s="3"/>
      <c r="H698" s="4"/>
      <c r="I698" s="5"/>
      <c r="J698" s="6"/>
      <c r="K698" s="7"/>
      <c r="L698" s="8"/>
      <c r="M698" s="9"/>
      <c r="N698" s="9"/>
      <c r="O698" s="9"/>
      <c r="P698" s="10"/>
      <c r="Q698" s="11"/>
      <c r="R698" s="11"/>
      <c r="S698" s="11"/>
      <c r="T698" s="11"/>
      <c r="U698" s="11"/>
      <c r="V698" s="11"/>
      <c r="W698" s="11"/>
      <c r="X698" s="11"/>
      <c r="Y698" s="11"/>
      <c r="Z698" s="12"/>
      <c r="AA698" s="12"/>
      <c r="AB698" s="12"/>
      <c r="AC698" s="12"/>
      <c r="AD698" s="12"/>
      <c r="AE698" s="12"/>
      <c r="AF698" s="12"/>
    </row>
    <row r="699" ht="46.5" customHeight="1">
      <c r="A699" s="1"/>
      <c r="B699" s="2"/>
      <c r="C699" s="2"/>
      <c r="D699" s="3"/>
      <c r="E699" s="3"/>
      <c r="F699" s="3"/>
      <c r="G699" s="3"/>
      <c r="H699" s="4"/>
      <c r="I699" s="5"/>
      <c r="J699" s="6"/>
      <c r="K699" s="7"/>
      <c r="L699" s="8"/>
      <c r="M699" s="9"/>
      <c r="N699" s="9"/>
      <c r="O699" s="9"/>
      <c r="P699" s="10"/>
      <c r="Q699" s="11"/>
      <c r="R699" s="11"/>
      <c r="S699" s="11"/>
      <c r="T699" s="11"/>
      <c r="U699" s="11"/>
      <c r="V699" s="11"/>
      <c r="W699" s="11"/>
      <c r="X699" s="11"/>
      <c r="Y699" s="11"/>
      <c r="Z699" s="12"/>
      <c r="AA699" s="12"/>
      <c r="AB699" s="12"/>
      <c r="AC699" s="12"/>
      <c r="AD699" s="12"/>
      <c r="AE699" s="12"/>
      <c r="AF699" s="12"/>
    </row>
    <row r="700" ht="46.5" customHeight="1">
      <c r="A700" s="1"/>
      <c r="B700" s="2"/>
      <c r="C700" s="2"/>
      <c r="D700" s="3"/>
      <c r="E700" s="3"/>
      <c r="F700" s="3"/>
      <c r="G700" s="3"/>
      <c r="H700" s="4"/>
      <c r="I700" s="5"/>
      <c r="J700" s="6"/>
      <c r="K700" s="7"/>
      <c r="L700" s="8"/>
      <c r="M700" s="9"/>
      <c r="N700" s="9"/>
      <c r="O700" s="9"/>
      <c r="P700" s="10"/>
      <c r="Q700" s="11"/>
      <c r="R700" s="11"/>
      <c r="S700" s="11"/>
      <c r="T700" s="11"/>
      <c r="U700" s="11"/>
      <c r="V700" s="11"/>
      <c r="W700" s="11"/>
      <c r="X700" s="11"/>
      <c r="Y700" s="11"/>
      <c r="Z700" s="12"/>
      <c r="AA700" s="12"/>
      <c r="AB700" s="12"/>
      <c r="AC700" s="12"/>
      <c r="AD700" s="12"/>
      <c r="AE700" s="12"/>
      <c r="AF700" s="12"/>
    </row>
    <row r="701" ht="46.5" customHeight="1">
      <c r="A701" s="1"/>
      <c r="B701" s="2"/>
      <c r="C701" s="2"/>
      <c r="D701" s="3"/>
      <c r="E701" s="3"/>
      <c r="F701" s="3"/>
      <c r="G701" s="3"/>
      <c r="H701" s="4"/>
      <c r="I701" s="5"/>
      <c r="J701" s="6"/>
      <c r="K701" s="7"/>
      <c r="L701" s="8"/>
      <c r="M701" s="9"/>
      <c r="N701" s="9"/>
      <c r="O701" s="9"/>
      <c r="P701" s="10"/>
      <c r="Q701" s="11"/>
      <c r="R701" s="11"/>
      <c r="S701" s="11"/>
      <c r="T701" s="11"/>
      <c r="U701" s="11"/>
      <c r="V701" s="11"/>
      <c r="W701" s="11"/>
      <c r="X701" s="11"/>
      <c r="Y701" s="11"/>
      <c r="Z701" s="12"/>
      <c r="AA701" s="12"/>
      <c r="AB701" s="12"/>
      <c r="AC701" s="12"/>
      <c r="AD701" s="12"/>
      <c r="AE701" s="12"/>
      <c r="AF701" s="12"/>
    </row>
    <row r="702" ht="46.5" customHeight="1">
      <c r="A702" s="1"/>
      <c r="B702" s="2"/>
      <c r="C702" s="2"/>
      <c r="D702" s="3"/>
      <c r="E702" s="3"/>
      <c r="F702" s="3"/>
      <c r="G702" s="3"/>
      <c r="H702" s="4"/>
      <c r="I702" s="5"/>
      <c r="J702" s="6"/>
      <c r="K702" s="7"/>
      <c r="L702" s="8"/>
      <c r="M702" s="9"/>
      <c r="N702" s="9"/>
      <c r="O702" s="9"/>
      <c r="P702" s="10"/>
      <c r="Q702" s="11"/>
      <c r="R702" s="11"/>
      <c r="S702" s="11"/>
      <c r="T702" s="11"/>
      <c r="U702" s="11"/>
      <c r="V702" s="11"/>
      <c r="W702" s="11"/>
      <c r="X702" s="11"/>
      <c r="Y702" s="11"/>
      <c r="Z702" s="12"/>
      <c r="AA702" s="12"/>
      <c r="AB702" s="12"/>
      <c r="AC702" s="12"/>
      <c r="AD702" s="12"/>
      <c r="AE702" s="12"/>
      <c r="AF702" s="12"/>
    </row>
    <row r="703" ht="46.5" customHeight="1">
      <c r="A703" s="1"/>
      <c r="B703" s="2"/>
      <c r="C703" s="2"/>
      <c r="D703" s="3"/>
      <c r="E703" s="3"/>
      <c r="F703" s="3"/>
      <c r="G703" s="3"/>
      <c r="H703" s="4"/>
      <c r="I703" s="5"/>
      <c r="J703" s="6"/>
      <c r="K703" s="7"/>
      <c r="L703" s="8"/>
      <c r="M703" s="9"/>
      <c r="N703" s="9"/>
      <c r="O703" s="9"/>
      <c r="P703" s="10"/>
      <c r="Q703" s="11"/>
      <c r="R703" s="11"/>
      <c r="S703" s="11"/>
      <c r="T703" s="11"/>
      <c r="U703" s="11"/>
      <c r="V703" s="11"/>
      <c r="W703" s="11"/>
      <c r="X703" s="11"/>
      <c r="Y703" s="11"/>
      <c r="Z703" s="12"/>
      <c r="AA703" s="12"/>
      <c r="AB703" s="12"/>
      <c r="AC703" s="12"/>
      <c r="AD703" s="12"/>
      <c r="AE703" s="12"/>
      <c r="AF703" s="12"/>
    </row>
    <row r="704" ht="46.5" customHeight="1">
      <c r="A704" s="1"/>
      <c r="B704" s="2"/>
      <c r="C704" s="2"/>
      <c r="D704" s="3"/>
      <c r="E704" s="3"/>
      <c r="F704" s="3"/>
      <c r="G704" s="3"/>
      <c r="H704" s="4"/>
      <c r="I704" s="5"/>
      <c r="J704" s="6"/>
      <c r="K704" s="7"/>
      <c r="L704" s="8"/>
      <c r="M704" s="9"/>
      <c r="N704" s="9"/>
      <c r="O704" s="9"/>
      <c r="P704" s="10"/>
      <c r="Q704" s="11"/>
      <c r="R704" s="11"/>
      <c r="S704" s="11"/>
      <c r="T704" s="11"/>
      <c r="U704" s="11"/>
      <c r="V704" s="11"/>
      <c r="W704" s="11"/>
      <c r="X704" s="11"/>
      <c r="Y704" s="11"/>
      <c r="Z704" s="12"/>
      <c r="AA704" s="12"/>
      <c r="AB704" s="12"/>
      <c r="AC704" s="12"/>
      <c r="AD704" s="12"/>
      <c r="AE704" s="12"/>
      <c r="AF704" s="12"/>
    </row>
    <row r="705" ht="46.5" customHeight="1">
      <c r="A705" s="1"/>
      <c r="B705" s="2"/>
      <c r="C705" s="2"/>
      <c r="D705" s="3"/>
      <c r="E705" s="3"/>
      <c r="F705" s="3"/>
      <c r="G705" s="3"/>
      <c r="H705" s="4"/>
      <c r="I705" s="5"/>
      <c r="J705" s="6"/>
      <c r="K705" s="7"/>
      <c r="L705" s="8"/>
      <c r="M705" s="9"/>
      <c r="N705" s="9"/>
      <c r="O705" s="9"/>
      <c r="P705" s="10"/>
      <c r="Q705" s="11"/>
      <c r="R705" s="11"/>
      <c r="S705" s="11"/>
      <c r="T705" s="11"/>
      <c r="U705" s="11"/>
      <c r="V705" s="11"/>
      <c r="W705" s="11"/>
      <c r="X705" s="11"/>
      <c r="Y705" s="11"/>
      <c r="Z705" s="12"/>
      <c r="AA705" s="12"/>
      <c r="AB705" s="12"/>
      <c r="AC705" s="12"/>
      <c r="AD705" s="12"/>
      <c r="AE705" s="12"/>
      <c r="AF705" s="12"/>
    </row>
    <row r="706" ht="46.5" customHeight="1">
      <c r="A706" s="1"/>
      <c r="B706" s="2"/>
      <c r="C706" s="2"/>
      <c r="D706" s="3"/>
      <c r="E706" s="3"/>
      <c r="F706" s="3"/>
      <c r="G706" s="3"/>
      <c r="H706" s="4"/>
      <c r="I706" s="5"/>
      <c r="J706" s="6"/>
      <c r="K706" s="7"/>
      <c r="L706" s="8"/>
      <c r="M706" s="9"/>
      <c r="N706" s="9"/>
      <c r="O706" s="9"/>
      <c r="P706" s="10"/>
      <c r="Q706" s="11"/>
      <c r="R706" s="11"/>
      <c r="S706" s="11"/>
      <c r="T706" s="11"/>
      <c r="U706" s="11"/>
      <c r="V706" s="11"/>
      <c r="W706" s="11"/>
      <c r="X706" s="11"/>
      <c r="Y706" s="11"/>
      <c r="Z706" s="12"/>
      <c r="AA706" s="12"/>
      <c r="AB706" s="12"/>
      <c r="AC706" s="12"/>
      <c r="AD706" s="12"/>
      <c r="AE706" s="12"/>
      <c r="AF706" s="12"/>
    </row>
    <row r="707" ht="46.5" customHeight="1">
      <c r="A707" s="1"/>
      <c r="B707" s="2"/>
      <c r="C707" s="2"/>
      <c r="D707" s="3"/>
      <c r="E707" s="3"/>
      <c r="F707" s="3"/>
      <c r="G707" s="3"/>
      <c r="H707" s="4"/>
      <c r="I707" s="5"/>
      <c r="J707" s="6"/>
      <c r="K707" s="7"/>
      <c r="L707" s="8"/>
      <c r="M707" s="9"/>
      <c r="N707" s="9"/>
      <c r="O707" s="9"/>
      <c r="P707" s="10"/>
      <c r="Q707" s="11"/>
      <c r="R707" s="11"/>
      <c r="S707" s="11"/>
      <c r="T707" s="11"/>
      <c r="U707" s="11"/>
      <c r="V707" s="11"/>
      <c r="W707" s="11"/>
      <c r="X707" s="11"/>
      <c r="Y707" s="11"/>
      <c r="Z707" s="12"/>
      <c r="AA707" s="12"/>
      <c r="AB707" s="12"/>
      <c r="AC707" s="12"/>
      <c r="AD707" s="12"/>
      <c r="AE707" s="12"/>
      <c r="AF707" s="12"/>
    </row>
    <row r="708" ht="46.5" customHeight="1">
      <c r="A708" s="1"/>
      <c r="B708" s="2"/>
      <c r="C708" s="2"/>
      <c r="D708" s="3"/>
      <c r="E708" s="3"/>
      <c r="F708" s="3"/>
      <c r="G708" s="3"/>
      <c r="H708" s="4"/>
      <c r="I708" s="5"/>
      <c r="J708" s="6"/>
      <c r="K708" s="7"/>
      <c r="L708" s="8"/>
      <c r="M708" s="9"/>
      <c r="N708" s="9"/>
      <c r="O708" s="9"/>
      <c r="P708" s="10"/>
      <c r="Q708" s="11"/>
      <c r="R708" s="11"/>
      <c r="S708" s="11"/>
      <c r="T708" s="11"/>
      <c r="U708" s="11"/>
      <c r="V708" s="11"/>
      <c r="W708" s="11"/>
      <c r="X708" s="11"/>
      <c r="Y708" s="11"/>
      <c r="Z708" s="12"/>
      <c r="AA708" s="12"/>
      <c r="AB708" s="12"/>
      <c r="AC708" s="12"/>
      <c r="AD708" s="12"/>
      <c r="AE708" s="12"/>
      <c r="AF708" s="12"/>
    </row>
    <row r="709" ht="46.5" customHeight="1">
      <c r="A709" s="1"/>
      <c r="B709" s="2"/>
      <c r="C709" s="2"/>
      <c r="D709" s="3"/>
      <c r="E709" s="3"/>
      <c r="F709" s="3"/>
      <c r="G709" s="3"/>
      <c r="H709" s="4"/>
      <c r="I709" s="5"/>
      <c r="J709" s="6"/>
      <c r="K709" s="7"/>
      <c r="L709" s="8"/>
      <c r="M709" s="9"/>
      <c r="N709" s="9"/>
      <c r="O709" s="9"/>
      <c r="P709" s="10"/>
      <c r="Q709" s="11"/>
      <c r="R709" s="11"/>
      <c r="S709" s="11"/>
      <c r="T709" s="11"/>
      <c r="U709" s="11"/>
      <c r="V709" s="11"/>
      <c r="W709" s="11"/>
      <c r="X709" s="11"/>
      <c r="Y709" s="11"/>
      <c r="Z709" s="12"/>
      <c r="AA709" s="12"/>
      <c r="AB709" s="12"/>
      <c r="AC709" s="12"/>
      <c r="AD709" s="12"/>
      <c r="AE709" s="12"/>
      <c r="AF709" s="12"/>
    </row>
    <row r="710" ht="46.5" customHeight="1">
      <c r="A710" s="1"/>
      <c r="B710" s="2"/>
      <c r="C710" s="2"/>
      <c r="D710" s="3"/>
      <c r="E710" s="3"/>
      <c r="F710" s="3"/>
      <c r="G710" s="3"/>
      <c r="H710" s="4"/>
      <c r="I710" s="5"/>
      <c r="J710" s="6"/>
      <c r="K710" s="7"/>
      <c r="L710" s="8"/>
      <c r="M710" s="9"/>
      <c r="N710" s="9"/>
      <c r="O710" s="9"/>
      <c r="P710" s="10"/>
      <c r="Q710" s="11"/>
      <c r="R710" s="11"/>
      <c r="S710" s="11"/>
      <c r="T710" s="11"/>
      <c r="U710" s="11"/>
      <c r="V710" s="11"/>
      <c r="W710" s="11"/>
      <c r="X710" s="11"/>
      <c r="Y710" s="11"/>
      <c r="Z710" s="12"/>
      <c r="AA710" s="12"/>
      <c r="AB710" s="12"/>
      <c r="AC710" s="12"/>
      <c r="AD710" s="12"/>
      <c r="AE710" s="12"/>
      <c r="AF710" s="12"/>
    </row>
    <row r="711" ht="46.5" customHeight="1">
      <c r="A711" s="1"/>
      <c r="B711" s="2"/>
      <c r="C711" s="2"/>
      <c r="D711" s="3"/>
      <c r="E711" s="3"/>
      <c r="F711" s="3"/>
      <c r="G711" s="3"/>
      <c r="H711" s="4"/>
      <c r="I711" s="5"/>
      <c r="J711" s="6"/>
      <c r="K711" s="7"/>
      <c r="L711" s="8"/>
      <c r="M711" s="9"/>
      <c r="N711" s="9"/>
      <c r="O711" s="9"/>
      <c r="P711" s="10"/>
      <c r="Q711" s="11"/>
      <c r="R711" s="11"/>
      <c r="S711" s="11"/>
      <c r="T711" s="11"/>
      <c r="U711" s="11"/>
      <c r="V711" s="11"/>
      <c r="W711" s="11"/>
      <c r="X711" s="11"/>
      <c r="Y711" s="11"/>
      <c r="Z711" s="12"/>
      <c r="AA711" s="12"/>
      <c r="AB711" s="12"/>
      <c r="AC711" s="12"/>
      <c r="AD711" s="12"/>
      <c r="AE711" s="12"/>
      <c r="AF711" s="12"/>
    </row>
    <row r="712" ht="46.5" customHeight="1">
      <c r="A712" s="1"/>
      <c r="B712" s="2"/>
      <c r="C712" s="2"/>
      <c r="D712" s="3"/>
      <c r="E712" s="3"/>
      <c r="F712" s="3"/>
      <c r="G712" s="3"/>
      <c r="H712" s="4"/>
      <c r="I712" s="5"/>
      <c r="J712" s="6"/>
      <c r="K712" s="7"/>
      <c r="L712" s="8"/>
      <c r="M712" s="9"/>
      <c r="N712" s="9"/>
      <c r="O712" s="9"/>
      <c r="P712" s="10"/>
      <c r="Q712" s="11"/>
      <c r="R712" s="11"/>
      <c r="S712" s="11"/>
      <c r="T712" s="11"/>
      <c r="U712" s="11"/>
      <c r="V712" s="11"/>
      <c r="W712" s="11"/>
      <c r="X712" s="11"/>
      <c r="Y712" s="11"/>
      <c r="Z712" s="12"/>
      <c r="AA712" s="12"/>
      <c r="AB712" s="12"/>
      <c r="AC712" s="12"/>
      <c r="AD712" s="12"/>
      <c r="AE712" s="12"/>
      <c r="AF712" s="12"/>
    </row>
    <row r="713" ht="46.5" customHeight="1">
      <c r="A713" s="1"/>
      <c r="B713" s="2"/>
      <c r="C713" s="2"/>
      <c r="D713" s="3"/>
      <c r="E713" s="3"/>
      <c r="F713" s="3"/>
      <c r="G713" s="3"/>
      <c r="H713" s="4"/>
      <c r="I713" s="5"/>
      <c r="J713" s="6"/>
      <c r="K713" s="7"/>
      <c r="L713" s="8"/>
      <c r="M713" s="9"/>
      <c r="N713" s="9"/>
      <c r="O713" s="9"/>
      <c r="P713" s="10"/>
      <c r="Q713" s="11"/>
      <c r="R713" s="11"/>
      <c r="S713" s="11"/>
      <c r="T713" s="11"/>
      <c r="U713" s="11"/>
      <c r="V713" s="11"/>
      <c r="W713" s="11"/>
      <c r="X713" s="11"/>
      <c r="Y713" s="11"/>
      <c r="Z713" s="12"/>
      <c r="AA713" s="12"/>
      <c r="AB713" s="12"/>
      <c r="AC713" s="12"/>
      <c r="AD713" s="12"/>
      <c r="AE713" s="12"/>
      <c r="AF713" s="12"/>
    </row>
    <row r="714" ht="46.5" customHeight="1">
      <c r="A714" s="1"/>
      <c r="B714" s="2"/>
      <c r="C714" s="2"/>
      <c r="D714" s="3"/>
      <c r="E714" s="3"/>
      <c r="F714" s="3"/>
      <c r="G714" s="3"/>
      <c r="H714" s="4"/>
      <c r="I714" s="5"/>
      <c r="J714" s="6"/>
      <c r="K714" s="7"/>
      <c r="L714" s="8"/>
      <c r="M714" s="9"/>
      <c r="N714" s="9"/>
      <c r="O714" s="9"/>
      <c r="P714" s="10"/>
      <c r="Q714" s="11"/>
      <c r="R714" s="11"/>
      <c r="S714" s="11"/>
      <c r="T714" s="11"/>
      <c r="U714" s="11"/>
      <c r="V714" s="11"/>
      <c r="W714" s="11"/>
      <c r="X714" s="11"/>
      <c r="Y714" s="11"/>
      <c r="Z714" s="12"/>
      <c r="AA714" s="12"/>
      <c r="AB714" s="12"/>
      <c r="AC714" s="12"/>
      <c r="AD714" s="12"/>
      <c r="AE714" s="12"/>
      <c r="AF714" s="12"/>
    </row>
    <row r="715" ht="46.5" customHeight="1">
      <c r="A715" s="1"/>
      <c r="B715" s="2"/>
      <c r="C715" s="2"/>
      <c r="D715" s="3"/>
      <c r="E715" s="3"/>
      <c r="F715" s="3"/>
      <c r="G715" s="3"/>
      <c r="H715" s="4"/>
      <c r="I715" s="5"/>
      <c r="J715" s="6"/>
      <c r="K715" s="7"/>
      <c r="L715" s="8"/>
      <c r="M715" s="9"/>
      <c r="N715" s="9"/>
      <c r="O715" s="9"/>
      <c r="P715" s="10"/>
      <c r="Q715" s="11"/>
      <c r="R715" s="11"/>
      <c r="S715" s="11"/>
      <c r="T715" s="11"/>
      <c r="U715" s="11"/>
      <c r="V715" s="11"/>
      <c r="W715" s="11"/>
      <c r="X715" s="11"/>
      <c r="Y715" s="11"/>
      <c r="Z715" s="12"/>
      <c r="AA715" s="12"/>
      <c r="AB715" s="12"/>
      <c r="AC715" s="12"/>
      <c r="AD715" s="12"/>
      <c r="AE715" s="12"/>
      <c r="AF715" s="12"/>
    </row>
    <row r="716" ht="46.5" customHeight="1">
      <c r="A716" s="1"/>
      <c r="B716" s="2"/>
      <c r="C716" s="2"/>
      <c r="D716" s="3"/>
      <c r="E716" s="3"/>
      <c r="F716" s="3"/>
      <c r="G716" s="3"/>
      <c r="H716" s="4"/>
      <c r="I716" s="5"/>
      <c r="J716" s="6"/>
      <c r="K716" s="7"/>
      <c r="L716" s="8"/>
      <c r="M716" s="9"/>
      <c r="N716" s="9"/>
      <c r="O716" s="9"/>
      <c r="P716" s="10"/>
      <c r="Q716" s="11"/>
      <c r="R716" s="11"/>
      <c r="S716" s="11"/>
      <c r="T716" s="11"/>
      <c r="U716" s="11"/>
      <c r="V716" s="11"/>
      <c r="W716" s="11"/>
      <c r="X716" s="11"/>
      <c r="Y716" s="11"/>
      <c r="Z716" s="12"/>
      <c r="AA716" s="12"/>
      <c r="AB716" s="12"/>
      <c r="AC716" s="12"/>
      <c r="AD716" s="12"/>
      <c r="AE716" s="12"/>
      <c r="AF716" s="12"/>
    </row>
    <row r="717" ht="46.5" customHeight="1">
      <c r="A717" s="1"/>
      <c r="B717" s="2"/>
      <c r="C717" s="2"/>
      <c r="D717" s="3"/>
      <c r="E717" s="3"/>
      <c r="F717" s="3"/>
      <c r="G717" s="3"/>
      <c r="H717" s="4"/>
      <c r="I717" s="5"/>
      <c r="J717" s="6"/>
      <c r="K717" s="7"/>
      <c r="L717" s="8"/>
      <c r="M717" s="9"/>
      <c r="N717" s="9"/>
      <c r="O717" s="9"/>
      <c r="P717" s="10"/>
      <c r="Q717" s="11"/>
      <c r="R717" s="11"/>
      <c r="S717" s="11"/>
      <c r="T717" s="11"/>
      <c r="U717" s="11"/>
      <c r="V717" s="11"/>
      <c r="W717" s="11"/>
      <c r="X717" s="11"/>
      <c r="Y717" s="11"/>
      <c r="Z717" s="12"/>
      <c r="AA717" s="12"/>
      <c r="AB717" s="12"/>
      <c r="AC717" s="12"/>
      <c r="AD717" s="12"/>
      <c r="AE717" s="12"/>
      <c r="AF717" s="12"/>
    </row>
    <row r="718" ht="46.5" customHeight="1">
      <c r="A718" s="1"/>
      <c r="B718" s="2"/>
      <c r="C718" s="2"/>
      <c r="D718" s="3"/>
      <c r="E718" s="3"/>
      <c r="F718" s="3"/>
      <c r="G718" s="3"/>
      <c r="H718" s="4"/>
      <c r="I718" s="5"/>
      <c r="J718" s="6"/>
      <c r="K718" s="7"/>
      <c r="L718" s="8"/>
      <c r="M718" s="9"/>
      <c r="N718" s="9"/>
      <c r="O718" s="9"/>
      <c r="P718" s="10"/>
      <c r="Q718" s="11"/>
      <c r="R718" s="11"/>
      <c r="S718" s="11"/>
      <c r="T718" s="11"/>
      <c r="U718" s="11"/>
      <c r="V718" s="11"/>
      <c r="W718" s="11"/>
      <c r="X718" s="11"/>
      <c r="Y718" s="11"/>
      <c r="Z718" s="12"/>
      <c r="AA718" s="12"/>
      <c r="AB718" s="12"/>
      <c r="AC718" s="12"/>
      <c r="AD718" s="12"/>
      <c r="AE718" s="12"/>
      <c r="AF718" s="12"/>
    </row>
    <row r="719" ht="46.5" customHeight="1">
      <c r="A719" s="1"/>
      <c r="B719" s="2"/>
      <c r="C719" s="2"/>
      <c r="D719" s="3"/>
      <c r="E719" s="3"/>
      <c r="F719" s="3"/>
      <c r="G719" s="3"/>
      <c r="H719" s="4"/>
      <c r="I719" s="5"/>
      <c r="J719" s="6"/>
      <c r="K719" s="7"/>
      <c r="L719" s="8"/>
      <c r="M719" s="9"/>
      <c r="N719" s="9"/>
      <c r="O719" s="9"/>
      <c r="P719" s="10"/>
      <c r="Q719" s="11"/>
      <c r="R719" s="11"/>
      <c r="S719" s="11"/>
      <c r="T719" s="11"/>
      <c r="U719" s="11"/>
      <c r="V719" s="11"/>
      <c r="W719" s="11"/>
      <c r="X719" s="11"/>
      <c r="Y719" s="11"/>
      <c r="Z719" s="12"/>
      <c r="AA719" s="12"/>
      <c r="AB719" s="12"/>
      <c r="AC719" s="12"/>
      <c r="AD719" s="12"/>
      <c r="AE719" s="12"/>
      <c r="AF719" s="12"/>
    </row>
    <row r="720" ht="46.5" customHeight="1">
      <c r="A720" s="1"/>
      <c r="B720" s="2"/>
      <c r="C720" s="2"/>
      <c r="D720" s="3"/>
      <c r="E720" s="3"/>
      <c r="F720" s="3"/>
      <c r="G720" s="3"/>
      <c r="H720" s="4"/>
      <c r="I720" s="5"/>
      <c r="J720" s="6"/>
      <c r="K720" s="7"/>
      <c r="L720" s="8"/>
      <c r="M720" s="9"/>
      <c r="N720" s="9"/>
      <c r="O720" s="9"/>
      <c r="P720" s="10"/>
      <c r="Q720" s="11"/>
      <c r="R720" s="11"/>
      <c r="S720" s="11"/>
      <c r="T720" s="11"/>
      <c r="U720" s="11"/>
      <c r="V720" s="11"/>
      <c r="W720" s="11"/>
      <c r="X720" s="11"/>
      <c r="Y720" s="11"/>
      <c r="Z720" s="12"/>
      <c r="AA720" s="12"/>
      <c r="AB720" s="12"/>
      <c r="AC720" s="12"/>
      <c r="AD720" s="12"/>
      <c r="AE720" s="12"/>
      <c r="AF720" s="12"/>
    </row>
    <row r="721" ht="46.5" customHeight="1">
      <c r="A721" s="1"/>
      <c r="B721" s="2"/>
      <c r="C721" s="2"/>
      <c r="D721" s="3"/>
      <c r="E721" s="3"/>
      <c r="F721" s="3"/>
      <c r="G721" s="3"/>
      <c r="H721" s="4"/>
      <c r="I721" s="5"/>
      <c r="J721" s="6"/>
      <c r="K721" s="7"/>
      <c r="L721" s="8"/>
      <c r="M721" s="9"/>
      <c r="N721" s="9"/>
      <c r="O721" s="9"/>
      <c r="P721" s="10"/>
      <c r="Q721" s="11"/>
      <c r="R721" s="11"/>
      <c r="S721" s="11"/>
      <c r="T721" s="11"/>
      <c r="U721" s="11"/>
      <c r="V721" s="11"/>
      <c r="W721" s="11"/>
      <c r="X721" s="11"/>
      <c r="Y721" s="11"/>
      <c r="Z721" s="12"/>
      <c r="AA721" s="12"/>
      <c r="AB721" s="12"/>
      <c r="AC721" s="12"/>
      <c r="AD721" s="12"/>
      <c r="AE721" s="12"/>
      <c r="AF721" s="12"/>
    </row>
    <row r="722" ht="46.5" customHeight="1">
      <c r="A722" s="1"/>
      <c r="B722" s="2"/>
      <c r="C722" s="2"/>
      <c r="D722" s="3"/>
      <c r="E722" s="3"/>
      <c r="F722" s="3"/>
      <c r="G722" s="3"/>
      <c r="H722" s="4"/>
      <c r="I722" s="5"/>
      <c r="J722" s="6"/>
      <c r="K722" s="7"/>
      <c r="L722" s="8"/>
      <c r="M722" s="9"/>
      <c r="N722" s="9"/>
      <c r="O722" s="9"/>
      <c r="P722" s="10"/>
      <c r="Q722" s="11"/>
      <c r="R722" s="11"/>
      <c r="S722" s="11"/>
      <c r="T722" s="11"/>
      <c r="U722" s="11"/>
      <c r="V722" s="11"/>
      <c r="W722" s="11"/>
      <c r="X722" s="11"/>
      <c r="Y722" s="11"/>
      <c r="Z722" s="12"/>
      <c r="AA722" s="12"/>
      <c r="AB722" s="12"/>
      <c r="AC722" s="12"/>
      <c r="AD722" s="12"/>
      <c r="AE722" s="12"/>
      <c r="AF722" s="12"/>
    </row>
    <row r="723" ht="46.5" customHeight="1">
      <c r="A723" s="1"/>
      <c r="B723" s="2"/>
      <c r="C723" s="2"/>
      <c r="D723" s="3"/>
      <c r="E723" s="3"/>
      <c r="F723" s="3"/>
      <c r="G723" s="3"/>
      <c r="H723" s="4"/>
      <c r="I723" s="5"/>
      <c r="J723" s="6"/>
      <c r="K723" s="7"/>
      <c r="L723" s="8"/>
      <c r="M723" s="9"/>
      <c r="N723" s="9"/>
      <c r="O723" s="9"/>
      <c r="P723" s="10"/>
      <c r="Q723" s="11"/>
      <c r="R723" s="11"/>
      <c r="S723" s="11"/>
      <c r="T723" s="11"/>
      <c r="U723" s="11"/>
      <c r="V723" s="11"/>
      <c r="W723" s="11"/>
      <c r="X723" s="11"/>
      <c r="Y723" s="11"/>
      <c r="Z723" s="12"/>
      <c r="AA723" s="12"/>
      <c r="AB723" s="12"/>
      <c r="AC723" s="12"/>
      <c r="AD723" s="12"/>
      <c r="AE723" s="12"/>
      <c r="AF723" s="12"/>
    </row>
    <row r="724" ht="46.5" customHeight="1">
      <c r="A724" s="1"/>
      <c r="B724" s="2"/>
      <c r="C724" s="2"/>
      <c r="D724" s="3"/>
      <c r="E724" s="3"/>
      <c r="F724" s="3"/>
      <c r="G724" s="3"/>
      <c r="H724" s="4"/>
      <c r="I724" s="5"/>
      <c r="J724" s="6"/>
      <c r="K724" s="7"/>
      <c r="L724" s="8"/>
      <c r="M724" s="9"/>
      <c r="N724" s="9"/>
      <c r="O724" s="9"/>
      <c r="P724" s="10"/>
      <c r="Q724" s="11"/>
      <c r="R724" s="11"/>
      <c r="S724" s="11"/>
      <c r="T724" s="11"/>
      <c r="U724" s="11"/>
      <c r="V724" s="11"/>
      <c r="W724" s="11"/>
      <c r="X724" s="11"/>
      <c r="Y724" s="11"/>
      <c r="Z724" s="12"/>
      <c r="AA724" s="12"/>
      <c r="AB724" s="12"/>
      <c r="AC724" s="12"/>
      <c r="AD724" s="12"/>
      <c r="AE724" s="12"/>
      <c r="AF724" s="12"/>
    </row>
    <row r="725" ht="46.5" customHeight="1">
      <c r="A725" s="1"/>
      <c r="B725" s="2"/>
      <c r="C725" s="2"/>
      <c r="D725" s="3"/>
      <c r="E725" s="3"/>
      <c r="F725" s="3"/>
      <c r="G725" s="3"/>
      <c r="H725" s="4"/>
      <c r="I725" s="5"/>
      <c r="J725" s="6"/>
      <c r="K725" s="7"/>
      <c r="L725" s="8"/>
      <c r="M725" s="9"/>
      <c r="N725" s="9"/>
      <c r="O725" s="9"/>
      <c r="P725" s="10"/>
      <c r="Q725" s="11"/>
      <c r="R725" s="11"/>
      <c r="S725" s="11"/>
      <c r="T725" s="11"/>
      <c r="U725" s="11"/>
      <c r="V725" s="11"/>
      <c r="W725" s="11"/>
      <c r="X725" s="11"/>
      <c r="Y725" s="11"/>
      <c r="Z725" s="12"/>
      <c r="AA725" s="12"/>
      <c r="AB725" s="12"/>
      <c r="AC725" s="12"/>
      <c r="AD725" s="12"/>
      <c r="AE725" s="12"/>
      <c r="AF725" s="12"/>
    </row>
    <row r="726" ht="46.5" customHeight="1">
      <c r="A726" s="1"/>
      <c r="B726" s="2"/>
      <c r="C726" s="2"/>
      <c r="D726" s="3"/>
      <c r="E726" s="3"/>
      <c r="F726" s="3"/>
      <c r="G726" s="3"/>
      <c r="H726" s="4"/>
      <c r="I726" s="5"/>
      <c r="J726" s="6"/>
      <c r="K726" s="7"/>
      <c r="L726" s="8"/>
      <c r="M726" s="9"/>
      <c r="N726" s="9"/>
      <c r="O726" s="9"/>
      <c r="P726" s="10"/>
      <c r="Q726" s="11"/>
      <c r="R726" s="11"/>
      <c r="S726" s="11"/>
      <c r="T726" s="11"/>
      <c r="U726" s="11"/>
      <c r="V726" s="11"/>
      <c r="W726" s="11"/>
      <c r="X726" s="11"/>
      <c r="Y726" s="11"/>
      <c r="Z726" s="12"/>
      <c r="AA726" s="12"/>
      <c r="AB726" s="12"/>
      <c r="AC726" s="12"/>
      <c r="AD726" s="12"/>
      <c r="AE726" s="12"/>
      <c r="AF726" s="12"/>
    </row>
    <row r="727" ht="46.5" customHeight="1">
      <c r="A727" s="1"/>
      <c r="B727" s="2"/>
      <c r="C727" s="2"/>
      <c r="D727" s="3"/>
      <c r="E727" s="3"/>
      <c r="F727" s="3"/>
      <c r="G727" s="3"/>
      <c r="H727" s="4"/>
      <c r="I727" s="5"/>
      <c r="J727" s="6"/>
      <c r="K727" s="7"/>
      <c r="L727" s="8"/>
      <c r="M727" s="9"/>
      <c r="N727" s="9"/>
      <c r="O727" s="9"/>
      <c r="P727" s="10"/>
      <c r="Q727" s="11"/>
      <c r="R727" s="11"/>
      <c r="S727" s="11"/>
      <c r="T727" s="11"/>
      <c r="U727" s="11"/>
      <c r="V727" s="11"/>
      <c r="W727" s="11"/>
      <c r="X727" s="11"/>
      <c r="Y727" s="11"/>
      <c r="Z727" s="12"/>
      <c r="AA727" s="12"/>
      <c r="AB727" s="12"/>
      <c r="AC727" s="12"/>
      <c r="AD727" s="12"/>
      <c r="AE727" s="12"/>
      <c r="AF727" s="12"/>
    </row>
    <row r="728" ht="46.5" customHeight="1">
      <c r="A728" s="1"/>
      <c r="B728" s="2"/>
      <c r="C728" s="2"/>
      <c r="D728" s="3"/>
      <c r="E728" s="3"/>
      <c r="F728" s="3"/>
      <c r="G728" s="3"/>
      <c r="H728" s="4"/>
      <c r="I728" s="5"/>
      <c r="J728" s="6"/>
      <c r="K728" s="7"/>
      <c r="L728" s="8"/>
      <c r="M728" s="9"/>
      <c r="N728" s="9"/>
      <c r="O728" s="9"/>
      <c r="P728" s="10"/>
      <c r="Q728" s="11"/>
      <c r="R728" s="11"/>
      <c r="S728" s="11"/>
      <c r="T728" s="11"/>
      <c r="U728" s="11"/>
      <c r="V728" s="11"/>
      <c r="W728" s="11"/>
      <c r="X728" s="11"/>
      <c r="Y728" s="11"/>
      <c r="Z728" s="12"/>
      <c r="AA728" s="12"/>
      <c r="AB728" s="12"/>
      <c r="AC728" s="12"/>
      <c r="AD728" s="12"/>
      <c r="AE728" s="12"/>
      <c r="AF728" s="12"/>
    </row>
    <row r="729" ht="46.5" customHeight="1">
      <c r="A729" s="1"/>
      <c r="B729" s="2"/>
      <c r="C729" s="2"/>
      <c r="D729" s="3"/>
      <c r="E729" s="3"/>
      <c r="F729" s="3"/>
      <c r="G729" s="3"/>
      <c r="H729" s="4"/>
      <c r="I729" s="5"/>
      <c r="J729" s="6"/>
      <c r="K729" s="7"/>
      <c r="L729" s="8"/>
      <c r="M729" s="9"/>
      <c r="N729" s="9"/>
      <c r="O729" s="9"/>
      <c r="P729" s="10"/>
      <c r="Q729" s="11"/>
      <c r="R729" s="11"/>
      <c r="S729" s="11"/>
      <c r="T729" s="11"/>
      <c r="U729" s="11"/>
      <c r="V729" s="11"/>
      <c r="W729" s="11"/>
      <c r="X729" s="11"/>
      <c r="Y729" s="11"/>
      <c r="Z729" s="12"/>
      <c r="AA729" s="12"/>
      <c r="AB729" s="12"/>
      <c r="AC729" s="12"/>
      <c r="AD729" s="12"/>
      <c r="AE729" s="12"/>
      <c r="AF729" s="12"/>
    </row>
    <row r="730" ht="46.5" customHeight="1">
      <c r="A730" s="1"/>
      <c r="B730" s="2"/>
      <c r="C730" s="2"/>
      <c r="D730" s="3"/>
      <c r="E730" s="3"/>
      <c r="F730" s="3"/>
      <c r="G730" s="3"/>
      <c r="H730" s="4"/>
      <c r="I730" s="5"/>
      <c r="J730" s="6"/>
      <c r="K730" s="7"/>
      <c r="L730" s="8"/>
      <c r="M730" s="9"/>
      <c r="N730" s="9"/>
      <c r="O730" s="9"/>
      <c r="P730" s="10"/>
      <c r="Q730" s="11"/>
      <c r="R730" s="11"/>
      <c r="S730" s="11"/>
      <c r="T730" s="11"/>
      <c r="U730" s="11"/>
      <c r="V730" s="11"/>
      <c r="W730" s="11"/>
      <c r="X730" s="11"/>
      <c r="Y730" s="11"/>
      <c r="Z730" s="12"/>
      <c r="AA730" s="12"/>
      <c r="AB730" s="12"/>
      <c r="AC730" s="12"/>
      <c r="AD730" s="12"/>
      <c r="AE730" s="12"/>
      <c r="AF730" s="12"/>
    </row>
    <row r="731" ht="46.5" customHeight="1">
      <c r="A731" s="1"/>
      <c r="B731" s="2"/>
      <c r="C731" s="2"/>
      <c r="D731" s="3"/>
      <c r="E731" s="3"/>
      <c r="F731" s="3"/>
      <c r="G731" s="3"/>
      <c r="H731" s="4"/>
      <c r="I731" s="5"/>
      <c r="J731" s="6"/>
      <c r="K731" s="7"/>
      <c r="L731" s="8"/>
      <c r="M731" s="9"/>
      <c r="N731" s="9"/>
      <c r="O731" s="9"/>
      <c r="P731" s="10"/>
      <c r="Q731" s="11"/>
      <c r="R731" s="11"/>
      <c r="S731" s="11"/>
      <c r="T731" s="11"/>
      <c r="U731" s="11"/>
      <c r="V731" s="11"/>
      <c r="W731" s="11"/>
      <c r="X731" s="11"/>
      <c r="Y731" s="11"/>
      <c r="Z731" s="12"/>
      <c r="AA731" s="12"/>
      <c r="AB731" s="12"/>
      <c r="AC731" s="12"/>
      <c r="AD731" s="12"/>
      <c r="AE731" s="12"/>
      <c r="AF731" s="12"/>
    </row>
    <row r="732" ht="46.5" customHeight="1">
      <c r="A732" s="1"/>
      <c r="B732" s="2"/>
      <c r="C732" s="2"/>
      <c r="D732" s="3"/>
      <c r="E732" s="3"/>
      <c r="F732" s="3"/>
      <c r="G732" s="3"/>
      <c r="H732" s="4"/>
      <c r="I732" s="5"/>
      <c r="J732" s="6"/>
      <c r="K732" s="7"/>
      <c r="L732" s="8"/>
      <c r="M732" s="9"/>
      <c r="N732" s="9"/>
      <c r="O732" s="9"/>
      <c r="P732" s="10"/>
      <c r="Q732" s="11"/>
      <c r="R732" s="11"/>
      <c r="S732" s="11"/>
      <c r="T732" s="11"/>
      <c r="U732" s="11"/>
      <c r="V732" s="11"/>
      <c r="W732" s="11"/>
      <c r="X732" s="11"/>
      <c r="Y732" s="11"/>
      <c r="Z732" s="12"/>
      <c r="AA732" s="12"/>
      <c r="AB732" s="12"/>
      <c r="AC732" s="12"/>
      <c r="AD732" s="12"/>
      <c r="AE732" s="12"/>
      <c r="AF732" s="12"/>
    </row>
    <row r="733" ht="46.5" customHeight="1">
      <c r="A733" s="1"/>
      <c r="B733" s="2"/>
      <c r="C733" s="2"/>
      <c r="D733" s="3"/>
      <c r="E733" s="3"/>
      <c r="F733" s="3"/>
      <c r="G733" s="3"/>
      <c r="H733" s="4"/>
      <c r="I733" s="5"/>
      <c r="J733" s="6"/>
      <c r="K733" s="7"/>
      <c r="L733" s="8"/>
      <c r="M733" s="9"/>
      <c r="N733" s="9"/>
      <c r="O733" s="9"/>
      <c r="P733" s="10"/>
      <c r="Q733" s="11"/>
      <c r="R733" s="11"/>
      <c r="S733" s="11"/>
      <c r="T733" s="11"/>
      <c r="U733" s="11"/>
      <c r="V733" s="11"/>
      <c r="W733" s="11"/>
      <c r="X733" s="11"/>
      <c r="Y733" s="11"/>
      <c r="Z733" s="12"/>
      <c r="AA733" s="12"/>
      <c r="AB733" s="12"/>
      <c r="AC733" s="12"/>
      <c r="AD733" s="12"/>
      <c r="AE733" s="12"/>
      <c r="AF733" s="12"/>
    </row>
    <row r="734" ht="46.5" customHeight="1">
      <c r="A734" s="1"/>
      <c r="B734" s="2"/>
      <c r="C734" s="2"/>
      <c r="D734" s="3"/>
      <c r="E734" s="3"/>
      <c r="F734" s="3"/>
      <c r="G734" s="3"/>
      <c r="H734" s="4"/>
      <c r="I734" s="5"/>
      <c r="J734" s="6"/>
      <c r="K734" s="7"/>
      <c r="L734" s="8"/>
      <c r="M734" s="9"/>
      <c r="N734" s="9"/>
      <c r="O734" s="9"/>
      <c r="P734" s="10"/>
      <c r="Q734" s="11"/>
      <c r="R734" s="11"/>
      <c r="S734" s="11"/>
      <c r="T734" s="11"/>
      <c r="U734" s="11"/>
      <c r="V734" s="11"/>
      <c r="W734" s="11"/>
      <c r="X734" s="11"/>
      <c r="Y734" s="11"/>
      <c r="Z734" s="12"/>
      <c r="AA734" s="12"/>
      <c r="AB734" s="12"/>
      <c r="AC734" s="12"/>
      <c r="AD734" s="12"/>
      <c r="AE734" s="12"/>
      <c r="AF734" s="12"/>
    </row>
    <row r="735" ht="46.5" customHeight="1">
      <c r="A735" s="1"/>
      <c r="B735" s="2"/>
      <c r="C735" s="2"/>
      <c r="D735" s="3"/>
      <c r="E735" s="3"/>
      <c r="F735" s="3"/>
      <c r="G735" s="3"/>
      <c r="H735" s="4"/>
      <c r="I735" s="5"/>
      <c r="J735" s="6"/>
      <c r="K735" s="7"/>
      <c r="L735" s="8"/>
      <c r="M735" s="9"/>
      <c r="N735" s="9"/>
      <c r="O735" s="9"/>
      <c r="P735" s="10"/>
      <c r="Q735" s="11"/>
      <c r="R735" s="11"/>
      <c r="S735" s="11"/>
      <c r="T735" s="11"/>
      <c r="U735" s="11"/>
      <c r="V735" s="11"/>
      <c r="W735" s="11"/>
      <c r="X735" s="11"/>
      <c r="Y735" s="11"/>
      <c r="Z735" s="12"/>
      <c r="AA735" s="12"/>
      <c r="AB735" s="12"/>
      <c r="AC735" s="12"/>
      <c r="AD735" s="12"/>
      <c r="AE735" s="12"/>
      <c r="AF735" s="12"/>
    </row>
    <row r="736" ht="46.5" customHeight="1">
      <c r="A736" s="1"/>
      <c r="B736" s="2"/>
      <c r="C736" s="2"/>
      <c r="D736" s="3"/>
      <c r="E736" s="3"/>
      <c r="F736" s="3"/>
      <c r="G736" s="3"/>
      <c r="H736" s="4"/>
      <c r="I736" s="5"/>
      <c r="J736" s="6"/>
      <c r="K736" s="7"/>
      <c r="L736" s="8"/>
      <c r="M736" s="9"/>
      <c r="N736" s="9"/>
      <c r="O736" s="9"/>
      <c r="P736" s="10"/>
      <c r="Q736" s="11"/>
      <c r="R736" s="11"/>
      <c r="S736" s="11"/>
      <c r="T736" s="11"/>
      <c r="U736" s="11"/>
      <c r="V736" s="11"/>
      <c r="W736" s="11"/>
      <c r="X736" s="11"/>
      <c r="Y736" s="11"/>
      <c r="Z736" s="12"/>
      <c r="AA736" s="12"/>
      <c r="AB736" s="12"/>
      <c r="AC736" s="12"/>
      <c r="AD736" s="12"/>
      <c r="AE736" s="12"/>
      <c r="AF736" s="12"/>
    </row>
    <row r="737" ht="46.5" customHeight="1">
      <c r="A737" s="1"/>
      <c r="B737" s="2"/>
      <c r="C737" s="2"/>
      <c r="D737" s="3"/>
      <c r="E737" s="3"/>
      <c r="F737" s="3"/>
      <c r="G737" s="3"/>
      <c r="H737" s="4"/>
      <c r="I737" s="5"/>
      <c r="J737" s="6"/>
      <c r="K737" s="7"/>
      <c r="L737" s="8"/>
      <c r="M737" s="9"/>
      <c r="N737" s="9"/>
      <c r="O737" s="9"/>
      <c r="P737" s="10"/>
      <c r="Q737" s="11"/>
      <c r="R737" s="11"/>
      <c r="S737" s="11"/>
      <c r="T737" s="11"/>
      <c r="U737" s="11"/>
      <c r="V737" s="11"/>
      <c r="W737" s="11"/>
      <c r="X737" s="11"/>
      <c r="Y737" s="11"/>
      <c r="Z737" s="12"/>
      <c r="AA737" s="12"/>
      <c r="AB737" s="12"/>
      <c r="AC737" s="12"/>
      <c r="AD737" s="12"/>
      <c r="AE737" s="12"/>
      <c r="AF737" s="12"/>
    </row>
    <row r="738" ht="46.5" customHeight="1">
      <c r="A738" s="1"/>
      <c r="B738" s="2"/>
      <c r="C738" s="2"/>
      <c r="D738" s="3"/>
      <c r="E738" s="3"/>
      <c r="F738" s="3"/>
      <c r="G738" s="3"/>
      <c r="H738" s="4"/>
      <c r="I738" s="5"/>
      <c r="J738" s="6"/>
      <c r="K738" s="7"/>
      <c r="L738" s="8"/>
      <c r="M738" s="9"/>
      <c r="N738" s="9"/>
      <c r="O738" s="9"/>
      <c r="P738" s="10"/>
      <c r="Q738" s="11"/>
      <c r="R738" s="11"/>
      <c r="S738" s="11"/>
      <c r="T738" s="11"/>
      <c r="U738" s="11"/>
      <c r="V738" s="11"/>
      <c r="W738" s="11"/>
      <c r="X738" s="11"/>
      <c r="Y738" s="11"/>
      <c r="Z738" s="12"/>
      <c r="AA738" s="12"/>
      <c r="AB738" s="12"/>
      <c r="AC738" s="12"/>
      <c r="AD738" s="12"/>
      <c r="AE738" s="12"/>
      <c r="AF738" s="12"/>
    </row>
    <row r="739" ht="46.5" customHeight="1">
      <c r="A739" s="1"/>
      <c r="B739" s="2"/>
      <c r="C739" s="2"/>
      <c r="D739" s="3"/>
      <c r="E739" s="3"/>
      <c r="F739" s="3"/>
      <c r="G739" s="3"/>
      <c r="H739" s="4"/>
      <c r="I739" s="5"/>
      <c r="J739" s="6"/>
      <c r="K739" s="7"/>
      <c r="L739" s="8"/>
      <c r="M739" s="9"/>
      <c r="N739" s="9"/>
      <c r="O739" s="9"/>
      <c r="P739" s="10"/>
      <c r="Q739" s="11"/>
      <c r="R739" s="11"/>
      <c r="S739" s="11"/>
      <c r="T739" s="11"/>
      <c r="U739" s="11"/>
      <c r="V739" s="11"/>
      <c r="W739" s="11"/>
      <c r="X739" s="11"/>
      <c r="Y739" s="11"/>
      <c r="Z739" s="12"/>
      <c r="AA739" s="12"/>
      <c r="AB739" s="12"/>
      <c r="AC739" s="12"/>
      <c r="AD739" s="12"/>
      <c r="AE739" s="12"/>
      <c r="AF739" s="12"/>
    </row>
    <row r="740" ht="46.5" customHeight="1">
      <c r="A740" s="1"/>
      <c r="B740" s="2"/>
      <c r="C740" s="2"/>
      <c r="D740" s="3"/>
      <c r="E740" s="3"/>
      <c r="F740" s="3"/>
      <c r="G740" s="3"/>
      <c r="H740" s="4"/>
      <c r="I740" s="5"/>
      <c r="J740" s="6"/>
      <c r="K740" s="7"/>
      <c r="L740" s="8"/>
      <c r="M740" s="9"/>
      <c r="N740" s="9"/>
      <c r="O740" s="9"/>
      <c r="P740" s="10"/>
      <c r="Q740" s="11"/>
      <c r="R740" s="11"/>
      <c r="S740" s="11"/>
      <c r="T740" s="11"/>
      <c r="U740" s="11"/>
      <c r="V740" s="11"/>
      <c r="W740" s="11"/>
      <c r="X740" s="11"/>
      <c r="Y740" s="11"/>
      <c r="Z740" s="12"/>
      <c r="AA740" s="12"/>
      <c r="AB740" s="12"/>
      <c r="AC740" s="12"/>
      <c r="AD740" s="12"/>
      <c r="AE740" s="12"/>
      <c r="AF740" s="12"/>
    </row>
    <row r="741" ht="46.5" customHeight="1">
      <c r="A741" s="1"/>
      <c r="B741" s="2"/>
      <c r="C741" s="2"/>
      <c r="D741" s="3"/>
      <c r="E741" s="3"/>
      <c r="F741" s="3"/>
      <c r="G741" s="3"/>
      <c r="H741" s="4"/>
      <c r="I741" s="5"/>
      <c r="J741" s="6"/>
      <c r="K741" s="7"/>
      <c r="L741" s="8"/>
      <c r="M741" s="9"/>
      <c r="N741" s="9"/>
      <c r="O741" s="9"/>
      <c r="P741" s="10"/>
      <c r="Q741" s="11"/>
      <c r="R741" s="11"/>
      <c r="S741" s="11"/>
      <c r="T741" s="11"/>
      <c r="U741" s="11"/>
      <c r="V741" s="11"/>
      <c r="W741" s="11"/>
      <c r="X741" s="11"/>
      <c r="Y741" s="11"/>
      <c r="Z741" s="12"/>
      <c r="AA741" s="12"/>
      <c r="AB741" s="12"/>
      <c r="AC741" s="12"/>
      <c r="AD741" s="12"/>
      <c r="AE741" s="12"/>
      <c r="AF741" s="12"/>
    </row>
    <row r="742" ht="46.5" customHeight="1">
      <c r="A742" s="1"/>
      <c r="B742" s="2"/>
      <c r="C742" s="2"/>
      <c r="D742" s="3"/>
      <c r="E742" s="3"/>
      <c r="F742" s="3"/>
      <c r="G742" s="3"/>
      <c r="H742" s="4"/>
      <c r="I742" s="5"/>
      <c r="J742" s="6"/>
      <c r="K742" s="7"/>
      <c r="L742" s="8"/>
      <c r="M742" s="9"/>
      <c r="N742" s="9"/>
      <c r="O742" s="9"/>
      <c r="P742" s="10"/>
      <c r="Q742" s="11"/>
      <c r="R742" s="11"/>
      <c r="S742" s="11"/>
      <c r="T742" s="11"/>
      <c r="U742" s="11"/>
      <c r="V742" s="11"/>
      <c r="W742" s="11"/>
      <c r="X742" s="11"/>
      <c r="Y742" s="11"/>
      <c r="Z742" s="12"/>
      <c r="AA742" s="12"/>
      <c r="AB742" s="12"/>
      <c r="AC742" s="12"/>
      <c r="AD742" s="12"/>
      <c r="AE742" s="12"/>
      <c r="AF742" s="12"/>
    </row>
    <row r="743" ht="46.5" customHeight="1">
      <c r="A743" s="1"/>
      <c r="B743" s="2"/>
      <c r="C743" s="2"/>
      <c r="D743" s="3"/>
      <c r="E743" s="3"/>
      <c r="F743" s="3"/>
      <c r="G743" s="3"/>
      <c r="H743" s="4"/>
      <c r="I743" s="5"/>
      <c r="J743" s="6"/>
      <c r="K743" s="7"/>
      <c r="L743" s="8"/>
      <c r="M743" s="9"/>
      <c r="N743" s="9"/>
      <c r="O743" s="9"/>
      <c r="P743" s="10"/>
      <c r="Q743" s="11"/>
      <c r="R743" s="11"/>
      <c r="S743" s="11"/>
      <c r="T743" s="11"/>
      <c r="U743" s="11"/>
      <c r="V743" s="11"/>
      <c r="W743" s="11"/>
      <c r="X743" s="11"/>
      <c r="Y743" s="11"/>
      <c r="Z743" s="12"/>
      <c r="AA743" s="12"/>
      <c r="AB743" s="12"/>
      <c r="AC743" s="12"/>
      <c r="AD743" s="12"/>
      <c r="AE743" s="12"/>
      <c r="AF743" s="12"/>
    </row>
    <row r="744" ht="46.5" customHeight="1">
      <c r="A744" s="1"/>
      <c r="B744" s="2"/>
      <c r="C744" s="2"/>
      <c r="D744" s="3"/>
      <c r="E744" s="3"/>
      <c r="F744" s="3"/>
      <c r="G744" s="3"/>
      <c r="H744" s="4"/>
      <c r="I744" s="5"/>
      <c r="J744" s="6"/>
      <c r="K744" s="7"/>
      <c r="L744" s="8"/>
      <c r="M744" s="9"/>
      <c r="N744" s="9"/>
      <c r="O744" s="9"/>
      <c r="P744" s="10"/>
      <c r="Q744" s="11"/>
      <c r="R744" s="11"/>
      <c r="S744" s="11"/>
      <c r="T744" s="11"/>
      <c r="U744" s="11"/>
      <c r="V744" s="11"/>
      <c r="W744" s="11"/>
      <c r="X744" s="11"/>
      <c r="Y744" s="11"/>
      <c r="Z744" s="12"/>
      <c r="AA744" s="12"/>
      <c r="AB744" s="12"/>
      <c r="AC744" s="12"/>
      <c r="AD744" s="12"/>
      <c r="AE744" s="12"/>
      <c r="AF744" s="12"/>
    </row>
    <row r="745" ht="46.5" customHeight="1">
      <c r="A745" s="1"/>
      <c r="B745" s="2"/>
      <c r="C745" s="2"/>
      <c r="D745" s="3"/>
      <c r="E745" s="3"/>
      <c r="F745" s="3"/>
      <c r="G745" s="3"/>
      <c r="H745" s="4"/>
      <c r="I745" s="5"/>
      <c r="J745" s="6"/>
      <c r="K745" s="7"/>
      <c r="L745" s="8"/>
      <c r="M745" s="9"/>
      <c r="N745" s="9"/>
      <c r="O745" s="9"/>
      <c r="P745" s="10"/>
      <c r="Q745" s="11"/>
      <c r="R745" s="11"/>
      <c r="S745" s="11"/>
      <c r="T745" s="11"/>
      <c r="U745" s="11"/>
      <c r="V745" s="11"/>
      <c r="W745" s="11"/>
      <c r="X745" s="11"/>
      <c r="Y745" s="11"/>
      <c r="Z745" s="12"/>
      <c r="AA745" s="12"/>
      <c r="AB745" s="12"/>
      <c r="AC745" s="12"/>
      <c r="AD745" s="12"/>
      <c r="AE745" s="12"/>
      <c r="AF745" s="12"/>
    </row>
    <row r="746" ht="46.5" customHeight="1">
      <c r="A746" s="1"/>
      <c r="B746" s="2"/>
      <c r="C746" s="2"/>
      <c r="D746" s="3"/>
      <c r="E746" s="3"/>
      <c r="F746" s="3"/>
      <c r="G746" s="3"/>
      <c r="H746" s="4"/>
      <c r="I746" s="5"/>
      <c r="J746" s="6"/>
      <c r="K746" s="7"/>
      <c r="L746" s="8"/>
      <c r="M746" s="9"/>
      <c r="N746" s="9"/>
      <c r="O746" s="9"/>
      <c r="P746" s="10"/>
      <c r="Q746" s="11"/>
      <c r="R746" s="11"/>
      <c r="S746" s="11"/>
      <c r="T746" s="11"/>
      <c r="U746" s="11"/>
      <c r="V746" s="11"/>
      <c r="W746" s="11"/>
      <c r="X746" s="11"/>
      <c r="Y746" s="11"/>
      <c r="Z746" s="12"/>
      <c r="AA746" s="12"/>
      <c r="AB746" s="12"/>
      <c r="AC746" s="12"/>
      <c r="AD746" s="12"/>
      <c r="AE746" s="12"/>
      <c r="AF746" s="12"/>
    </row>
    <row r="747" ht="46.5" customHeight="1">
      <c r="A747" s="1"/>
      <c r="B747" s="2"/>
      <c r="C747" s="2"/>
      <c r="D747" s="3"/>
      <c r="E747" s="3"/>
      <c r="F747" s="3"/>
      <c r="G747" s="3"/>
      <c r="H747" s="4"/>
      <c r="I747" s="5"/>
      <c r="J747" s="6"/>
      <c r="K747" s="7"/>
      <c r="L747" s="8"/>
      <c r="M747" s="9"/>
      <c r="N747" s="9"/>
      <c r="O747" s="9"/>
      <c r="P747" s="10"/>
      <c r="Q747" s="11"/>
      <c r="R747" s="11"/>
      <c r="S747" s="11"/>
      <c r="T747" s="11"/>
      <c r="U747" s="11"/>
      <c r="V747" s="11"/>
      <c r="W747" s="11"/>
      <c r="X747" s="11"/>
      <c r="Y747" s="11"/>
      <c r="Z747" s="12"/>
      <c r="AA747" s="12"/>
      <c r="AB747" s="12"/>
      <c r="AC747" s="12"/>
      <c r="AD747" s="12"/>
      <c r="AE747" s="12"/>
      <c r="AF747" s="12"/>
    </row>
    <row r="748" ht="46.5" customHeight="1">
      <c r="A748" s="1"/>
      <c r="B748" s="2"/>
      <c r="C748" s="2"/>
      <c r="D748" s="3"/>
      <c r="E748" s="3"/>
      <c r="F748" s="3"/>
      <c r="G748" s="3"/>
      <c r="H748" s="4"/>
      <c r="I748" s="5"/>
      <c r="J748" s="6"/>
      <c r="K748" s="7"/>
      <c r="L748" s="8"/>
      <c r="M748" s="9"/>
      <c r="N748" s="9"/>
      <c r="O748" s="9"/>
      <c r="P748" s="10"/>
      <c r="Q748" s="11"/>
      <c r="R748" s="11"/>
      <c r="S748" s="11"/>
      <c r="T748" s="11"/>
      <c r="U748" s="11"/>
      <c r="V748" s="11"/>
      <c r="W748" s="11"/>
      <c r="X748" s="11"/>
      <c r="Y748" s="11"/>
      <c r="Z748" s="12"/>
      <c r="AA748" s="12"/>
      <c r="AB748" s="12"/>
      <c r="AC748" s="12"/>
      <c r="AD748" s="12"/>
      <c r="AE748" s="12"/>
      <c r="AF748" s="12"/>
    </row>
    <row r="749" ht="46.5" customHeight="1">
      <c r="A749" s="1"/>
      <c r="B749" s="2"/>
      <c r="C749" s="2"/>
      <c r="D749" s="3"/>
      <c r="E749" s="3"/>
      <c r="F749" s="3"/>
      <c r="G749" s="3"/>
      <c r="H749" s="4"/>
      <c r="I749" s="5"/>
      <c r="J749" s="6"/>
      <c r="K749" s="7"/>
      <c r="L749" s="8"/>
      <c r="M749" s="9"/>
      <c r="N749" s="9"/>
      <c r="O749" s="9"/>
      <c r="P749" s="10"/>
      <c r="Q749" s="11"/>
      <c r="R749" s="11"/>
      <c r="S749" s="11"/>
      <c r="T749" s="11"/>
      <c r="U749" s="11"/>
      <c r="V749" s="11"/>
      <c r="W749" s="11"/>
      <c r="X749" s="11"/>
      <c r="Y749" s="11"/>
      <c r="Z749" s="12"/>
      <c r="AA749" s="12"/>
      <c r="AB749" s="12"/>
      <c r="AC749" s="12"/>
      <c r="AD749" s="12"/>
      <c r="AE749" s="12"/>
      <c r="AF749" s="12"/>
    </row>
    <row r="750" ht="46.5" customHeight="1">
      <c r="A750" s="1"/>
      <c r="B750" s="2"/>
      <c r="C750" s="2"/>
      <c r="D750" s="3"/>
      <c r="E750" s="3"/>
      <c r="F750" s="3"/>
      <c r="G750" s="3"/>
      <c r="H750" s="4"/>
      <c r="I750" s="5"/>
      <c r="J750" s="6"/>
      <c r="K750" s="7"/>
      <c r="L750" s="8"/>
      <c r="M750" s="9"/>
      <c r="N750" s="9"/>
      <c r="O750" s="9"/>
      <c r="P750" s="10"/>
      <c r="Q750" s="11"/>
      <c r="R750" s="11"/>
      <c r="S750" s="11"/>
      <c r="T750" s="11"/>
      <c r="U750" s="11"/>
      <c r="V750" s="11"/>
      <c r="W750" s="11"/>
      <c r="X750" s="11"/>
      <c r="Y750" s="11"/>
      <c r="Z750" s="12"/>
      <c r="AA750" s="12"/>
      <c r="AB750" s="12"/>
      <c r="AC750" s="12"/>
      <c r="AD750" s="12"/>
      <c r="AE750" s="12"/>
      <c r="AF750" s="12"/>
    </row>
    <row r="751" ht="46.5" customHeight="1">
      <c r="A751" s="1"/>
      <c r="B751" s="2"/>
      <c r="C751" s="2"/>
      <c r="D751" s="3"/>
      <c r="E751" s="3"/>
      <c r="F751" s="3"/>
      <c r="G751" s="3"/>
      <c r="H751" s="4"/>
      <c r="I751" s="5"/>
      <c r="J751" s="6"/>
      <c r="K751" s="7"/>
      <c r="L751" s="8"/>
      <c r="M751" s="9"/>
      <c r="N751" s="9"/>
      <c r="O751" s="9"/>
      <c r="P751" s="10"/>
      <c r="Q751" s="11"/>
      <c r="R751" s="11"/>
      <c r="S751" s="11"/>
      <c r="T751" s="11"/>
      <c r="U751" s="11"/>
      <c r="V751" s="11"/>
      <c r="W751" s="11"/>
      <c r="X751" s="11"/>
      <c r="Y751" s="11"/>
      <c r="Z751" s="12"/>
      <c r="AA751" s="12"/>
      <c r="AB751" s="12"/>
      <c r="AC751" s="12"/>
      <c r="AD751" s="12"/>
      <c r="AE751" s="12"/>
      <c r="AF751" s="12"/>
    </row>
    <row r="752" ht="46.5" customHeight="1">
      <c r="A752" s="1"/>
      <c r="B752" s="2"/>
      <c r="C752" s="2"/>
      <c r="D752" s="3"/>
      <c r="E752" s="3"/>
      <c r="F752" s="3"/>
      <c r="G752" s="3"/>
      <c r="H752" s="4"/>
      <c r="I752" s="5"/>
      <c r="J752" s="6"/>
      <c r="K752" s="7"/>
      <c r="L752" s="8"/>
      <c r="M752" s="9"/>
      <c r="N752" s="9"/>
      <c r="O752" s="9"/>
      <c r="P752" s="10"/>
      <c r="Q752" s="11"/>
      <c r="R752" s="11"/>
      <c r="S752" s="11"/>
      <c r="T752" s="11"/>
      <c r="U752" s="11"/>
      <c r="V752" s="11"/>
      <c r="W752" s="11"/>
      <c r="X752" s="11"/>
      <c r="Y752" s="11"/>
      <c r="Z752" s="12"/>
      <c r="AA752" s="12"/>
      <c r="AB752" s="12"/>
      <c r="AC752" s="12"/>
      <c r="AD752" s="12"/>
      <c r="AE752" s="12"/>
      <c r="AF752" s="12"/>
    </row>
    <row r="753" ht="46.5" customHeight="1">
      <c r="A753" s="1"/>
      <c r="B753" s="2"/>
      <c r="C753" s="2"/>
      <c r="D753" s="3"/>
      <c r="E753" s="3"/>
      <c r="F753" s="3"/>
      <c r="G753" s="3"/>
      <c r="H753" s="4"/>
      <c r="I753" s="5"/>
      <c r="J753" s="6"/>
      <c r="K753" s="7"/>
      <c r="L753" s="8"/>
      <c r="M753" s="9"/>
      <c r="N753" s="9"/>
      <c r="O753" s="9"/>
      <c r="P753" s="10"/>
      <c r="Q753" s="11"/>
      <c r="R753" s="11"/>
      <c r="S753" s="11"/>
      <c r="T753" s="11"/>
      <c r="U753" s="11"/>
      <c r="V753" s="11"/>
      <c r="W753" s="11"/>
      <c r="X753" s="11"/>
      <c r="Y753" s="11"/>
      <c r="Z753" s="12"/>
      <c r="AA753" s="12"/>
      <c r="AB753" s="12"/>
      <c r="AC753" s="12"/>
      <c r="AD753" s="12"/>
      <c r="AE753" s="12"/>
      <c r="AF753" s="12"/>
    </row>
    <row r="754" ht="46.5" customHeight="1">
      <c r="A754" s="1"/>
      <c r="B754" s="2"/>
      <c r="C754" s="2"/>
      <c r="D754" s="3"/>
      <c r="E754" s="3"/>
      <c r="F754" s="3"/>
      <c r="G754" s="3"/>
      <c r="H754" s="4"/>
      <c r="I754" s="5"/>
      <c r="J754" s="6"/>
      <c r="K754" s="7"/>
      <c r="L754" s="8"/>
      <c r="M754" s="9"/>
      <c r="N754" s="9"/>
      <c r="O754" s="9"/>
      <c r="P754" s="10"/>
      <c r="Q754" s="11"/>
      <c r="R754" s="11"/>
      <c r="S754" s="11"/>
      <c r="T754" s="11"/>
      <c r="U754" s="11"/>
      <c r="V754" s="11"/>
      <c r="W754" s="11"/>
      <c r="X754" s="11"/>
      <c r="Y754" s="11"/>
      <c r="Z754" s="12"/>
      <c r="AA754" s="12"/>
      <c r="AB754" s="12"/>
      <c r="AC754" s="12"/>
      <c r="AD754" s="12"/>
      <c r="AE754" s="12"/>
      <c r="AF754" s="12"/>
    </row>
    <row r="755" ht="46.5" customHeight="1">
      <c r="A755" s="1"/>
      <c r="B755" s="2"/>
      <c r="C755" s="2"/>
      <c r="D755" s="3"/>
      <c r="E755" s="3"/>
      <c r="F755" s="3"/>
      <c r="G755" s="3"/>
      <c r="H755" s="4"/>
      <c r="I755" s="5"/>
      <c r="J755" s="6"/>
      <c r="K755" s="7"/>
      <c r="L755" s="8"/>
      <c r="M755" s="9"/>
      <c r="N755" s="9"/>
      <c r="O755" s="9"/>
      <c r="P755" s="10"/>
      <c r="Q755" s="11"/>
      <c r="R755" s="11"/>
      <c r="S755" s="11"/>
      <c r="T755" s="11"/>
      <c r="U755" s="11"/>
      <c r="V755" s="11"/>
      <c r="W755" s="11"/>
      <c r="X755" s="11"/>
      <c r="Y755" s="11"/>
      <c r="Z755" s="12"/>
      <c r="AA755" s="12"/>
      <c r="AB755" s="12"/>
      <c r="AC755" s="12"/>
      <c r="AD755" s="12"/>
      <c r="AE755" s="12"/>
      <c r="AF755" s="12"/>
    </row>
    <row r="756" ht="46.5" customHeight="1">
      <c r="A756" s="1"/>
      <c r="B756" s="2"/>
      <c r="C756" s="2"/>
      <c r="D756" s="3"/>
      <c r="E756" s="3"/>
      <c r="F756" s="3"/>
      <c r="G756" s="3"/>
      <c r="H756" s="4"/>
      <c r="I756" s="5"/>
      <c r="J756" s="6"/>
      <c r="K756" s="7"/>
      <c r="L756" s="8"/>
      <c r="M756" s="9"/>
      <c r="N756" s="9"/>
      <c r="O756" s="9"/>
      <c r="P756" s="10"/>
      <c r="Q756" s="11"/>
      <c r="R756" s="11"/>
      <c r="S756" s="11"/>
      <c r="T756" s="11"/>
      <c r="U756" s="11"/>
      <c r="V756" s="11"/>
      <c r="W756" s="11"/>
      <c r="X756" s="11"/>
      <c r="Y756" s="11"/>
      <c r="Z756" s="12"/>
      <c r="AA756" s="12"/>
      <c r="AB756" s="12"/>
      <c r="AC756" s="12"/>
      <c r="AD756" s="12"/>
      <c r="AE756" s="12"/>
      <c r="AF756" s="12"/>
    </row>
    <row r="757" ht="46.5" customHeight="1">
      <c r="A757" s="1"/>
      <c r="B757" s="2"/>
      <c r="C757" s="2"/>
      <c r="D757" s="3"/>
      <c r="E757" s="3"/>
      <c r="F757" s="3"/>
      <c r="G757" s="3"/>
      <c r="H757" s="4"/>
      <c r="I757" s="5"/>
      <c r="J757" s="6"/>
      <c r="K757" s="7"/>
      <c r="L757" s="8"/>
      <c r="M757" s="9"/>
      <c r="N757" s="9"/>
      <c r="O757" s="9"/>
      <c r="P757" s="10"/>
      <c r="Q757" s="11"/>
      <c r="R757" s="11"/>
      <c r="S757" s="11"/>
      <c r="T757" s="11"/>
      <c r="U757" s="11"/>
      <c r="V757" s="11"/>
      <c r="W757" s="11"/>
      <c r="X757" s="11"/>
      <c r="Y757" s="11"/>
      <c r="Z757" s="12"/>
      <c r="AA757" s="12"/>
      <c r="AB757" s="12"/>
      <c r="AC757" s="12"/>
      <c r="AD757" s="12"/>
      <c r="AE757" s="12"/>
      <c r="AF757" s="12"/>
    </row>
    <row r="758" ht="46.5" customHeight="1">
      <c r="A758" s="1"/>
      <c r="B758" s="2"/>
      <c r="C758" s="2"/>
      <c r="D758" s="3"/>
      <c r="E758" s="3"/>
      <c r="F758" s="3"/>
      <c r="G758" s="3"/>
      <c r="H758" s="4"/>
      <c r="I758" s="5"/>
      <c r="J758" s="6"/>
      <c r="K758" s="7"/>
      <c r="L758" s="8"/>
      <c r="M758" s="9"/>
      <c r="N758" s="9"/>
      <c r="O758" s="9"/>
      <c r="P758" s="10"/>
      <c r="Q758" s="11"/>
      <c r="R758" s="11"/>
      <c r="S758" s="11"/>
      <c r="T758" s="11"/>
      <c r="U758" s="11"/>
      <c r="V758" s="11"/>
      <c r="W758" s="11"/>
      <c r="X758" s="11"/>
      <c r="Y758" s="11"/>
      <c r="Z758" s="12"/>
      <c r="AA758" s="12"/>
      <c r="AB758" s="12"/>
      <c r="AC758" s="12"/>
      <c r="AD758" s="12"/>
      <c r="AE758" s="12"/>
      <c r="AF758" s="12"/>
    </row>
    <row r="759" ht="46.5" customHeight="1">
      <c r="A759" s="1"/>
      <c r="B759" s="2"/>
      <c r="C759" s="2"/>
      <c r="D759" s="3"/>
      <c r="E759" s="3"/>
      <c r="F759" s="3"/>
      <c r="G759" s="3"/>
      <c r="H759" s="4"/>
      <c r="I759" s="5"/>
      <c r="J759" s="6"/>
      <c r="K759" s="7"/>
      <c r="L759" s="8"/>
      <c r="M759" s="9"/>
      <c r="N759" s="9"/>
      <c r="O759" s="9"/>
      <c r="P759" s="10"/>
      <c r="Q759" s="11"/>
      <c r="R759" s="11"/>
      <c r="S759" s="11"/>
      <c r="T759" s="11"/>
      <c r="U759" s="11"/>
      <c r="V759" s="11"/>
      <c r="W759" s="11"/>
      <c r="X759" s="11"/>
      <c r="Y759" s="11"/>
      <c r="Z759" s="12"/>
      <c r="AA759" s="12"/>
      <c r="AB759" s="12"/>
      <c r="AC759" s="12"/>
      <c r="AD759" s="12"/>
      <c r="AE759" s="12"/>
      <c r="AF759" s="12"/>
    </row>
    <row r="760" ht="46.5" customHeight="1">
      <c r="A760" s="1"/>
      <c r="B760" s="2"/>
      <c r="C760" s="2"/>
      <c r="D760" s="3"/>
      <c r="E760" s="3"/>
      <c r="F760" s="3"/>
      <c r="G760" s="3"/>
      <c r="H760" s="4"/>
      <c r="I760" s="5"/>
      <c r="J760" s="6"/>
      <c r="K760" s="7"/>
      <c r="L760" s="8"/>
      <c r="M760" s="9"/>
      <c r="N760" s="9"/>
      <c r="O760" s="9"/>
      <c r="P760" s="10"/>
      <c r="Q760" s="11"/>
      <c r="R760" s="11"/>
      <c r="S760" s="11"/>
      <c r="T760" s="11"/>
      <c r="U760" s="11"/>
      <c r="V760" s="11"/>
      <c r="W760" s="11"/>
      <c r="X760" s="11"/>
      <c r="Y760" s="11"/>
      <c r="Z760" s="12"/>
      <c r="AA760" s="12"/>
      <c r="AB760" s="12"/>
      <c r="AC760" s="12"/>
      <c r="AD760" s="12"/>
      <c r="AE760" s="12"/>
      <c r="AF760" s="12"/>
    </row>
    <row r="761" ht="46.5" customHeight="1">
      <c r="A761" s="1"/>
      <c r="B761" s="2"/>
      <c r="C761" s="2"/>
      <c r="D761" s="3"/>
      <c r="E761" s="3"/>
      <c r="F761" s="3"/>
      <c r="G761" s="3"/>
      <c r="H761" s="4"/>
      <c r="I761" s="5"/>
      <c r="J761" s="6"/>
      <c r="K761" s="7"/>
      <c r="L761" s="8"/>
      <c r="M761" s="9"/>
      <c r="N761" s="9"/>
      <c r="O761" s="9"/>
      <c r="P761" s="10"/>
      <c r="Q761" s="11"/>
      <c r="R761" s="11"/>
      <c r="S761" s="11"/>
      <c r="T761" s="11"/>
      <c r="U761" s="11"/>
      <c r="V761" s="11"/>
      <c r="W761" s="11"/>
      <c r="X761" s="11"/>
      <c r="Y761" s="11"/>
      <c r="Z761" s="12"/>
      <c r="AA761" s="12"/>
      <c r="AB761" s="12"/>
      <c r="AC761" s="12"/>
      <c r="AD761" s="12"/>
      <c r="AE761" s="12"/>
      <c r="AF761" s="12"/>
    </row>
    <row r="762" ht="46.5" customHeight="1">
      <c r="A762" s="1"/>
      <c r="B762" s="2"/>
      <c r="C762" s="2"/>
      <c r="D762" s="3"/>
      <c r="E762" s="3"/>
      <c r="F762" s="3"/>
      <c r="G762" s="3"/>
      <c r="H762" s="4"/>
      <c r="I762" s="5"/>
      <c r="J762" s="6"/>
      <c r="K762" s="7"/>
      <c r="L762" s="8"/>
      <c r="M762" s="9"/>
      <c r="N762" s="9"/>
      <c r="O762" s="9"/>
      <c r="P762" s="10"/>
      <c r="Q762" s="11"/>
      <c r="R762" s="11"/>
      <c r="S762" s="11"/>
      <c r="T762" s="11"/>
      <c r="U762" s="11"/>
      <c r="V762" s="11"/>
      <c r="W762" s="11"/>
      <c r="X762" s="11"/>
      <c r="Y762" s="11"/>
      <c r="Z762" s="12"/>
      <c r="AA762" s="12"/>
      <c r="AB762" s="12"/>
      <c r="AC762" s="12"/>
      <c r="AD762" s="12"/>
      <c r="AE762" s="12"/>
      <c r="AF762" s="12"/>
    </row>
    <row r="763" ht="46.5" customHeight="1">
      <c r="A763" s="1"/>
      <c r="B763" s="2"/>
      <c r="C763" s="2"/>
      <c r="D763" s="3"/>
      <c r="E763" s="3"/>
      <c r="F763" s="3"/>
      <c r="G763" s="3"/>
      <c r="H763" s="4"/>
      <c r="I763" s="5"/>
      <c r="J763" s="6"/>
      <c r="K763" s="7"/>
      <c r="L763" s="8"/>
      <c r="M763" s="9"/>
      <c r="N763" s="9"/>
      <c r="O763" s="9"/>
      <c r="P763" s="10"/>
      <c r="Q763" s="11"/>
      <c r="R763" s="11"/>
      <c r="S763" s="11"/>
      <c r="T763" s="11"/>
      <c r="U763" s="11"/>
      <c r="V763" s="11"/>
      <c r="W763" s="11"/>
      <c r="X763" s="11"/>
      <c r="Y763" s="11"/>
      <c r="Z763" s="12"/>
      <c r="AA763" s="12"/>
      <c r="AB763" s="12"/>
      <c r="AC763" s="12"/>
      <c r="AD763" s="12"/>
      <c r="AE763" s="12"/>
      <c r="AF763" s="12"/>
    </row>
    <row r="764" ht="46.5" customHeight="1">
      <c r="A764" s="1"/>
      <c r="B764" s="2"/>
      <c r="C764" s="2"/>
      <c r="D764" s="3"/>
      <c r="E764" s="3"/>
      <c r="F764" s="3"/>
      <c r="G764" s="3"/>
      <c r="H764" s="4"/>
      <c r="I764" s="5"/>
      <c r="J764" s="6"/>
      <c r="K764" s="7"/>
      <c r="L764" s="8"/>
      <c r="M764" s="9"/>
      <c r="N764" s="9"/>
      <c r="O764" s="9"/>
      <c r="P764" s="10"/>
      <c r="Q764" s="11"/>
      <c r="R764" s="11"/>
      <c r="S764" s="11"/>
      <c r="T764" s="11"/>
      <c r="U764" s="11"/>
      <c r="V764" s="11"/>
      <c r="W764" s="11"/>
      <c r="X764" s="11"/>
      <c r="Y764" s="11"/>
      <c r="Z764" s="12"/>
      <c r="AA764" s="12"/>
      <c r="AB764" s="12"/>
      <c r="AC764" s="12"/>
      <c r="AD764" s="12"/>
      <c r="AE764" s="12"/>
      <c r="AF764" s="12"/>
    </row>
    <row r="765" ht="46.5" customHeight="1">
      <c r="A765" s="1"/>
      <c r="B765" s="2"/>
      <c r="C765" s="2"/>
      <c r="D765" s="3"/>
      <c r="E765" s="3"/>
      <c r="F765" s="3"/>
      <c r="G765" s="3"/>
      <c r="H765" s="4"/>
      <c r="I765" s="5"/>
      <c r="J765" s="6"/>
      <c r="K765" s="7"/>
      <c r="L765" s="8"/>
      <c r="M765" s="9"/>
      <c r="N765" s="9"/>
      <c r="O765" s="9"/>
      <c r="P765" s="10"/>
      <c r="Q765" s="11"/>
      <c r="R765" s="11"/>
      <c r="S765" s="11"/>
      <c r="T765" s="11"/>
      <c r="U765" s="11"/>
      <c r="V765" s="11"/>
      <c r="W765" s="11"/>
      <c r="X765" s="11"/>
      <c r="Y765" s="11"/>
      <c r="Z765" s="12"/>
      <c r="AA765" s="12"/>
      <c r="AB765" s="12"/>
      <c r="AC765" s="12"/>
      <c r="AD765" s="12"/>
      <c r="AE765" s="12"/>
      <c r="AF765" s="12"/>
    </row>
    <row r="766" ht="46.5" customHeight="1">
      <c r="A766" s="1"/>
      <c r="B766" s="2"/>
      <c r="C766" s="2"/>
      <c r="D766" s="3"/>
      <c r="E766" s="3"/>
      <c r="F766" s="3"/>
      <c r="G766" s="3"/>
      <c r="H766" s="4"/>
      <c r="I766" s="5"/>
      <c r="J766" s="6"/>
      <c r="K766" s="7"/>
      <c r="L766" s="8"/>
      <c r="M766" s="9"/>
      <c r="N766" s="9"/>
      <c r="O766" s="9"/>
      <c r="P766" s="10"/>
      <c r="Q766" s="11"/>
      <c r="R766" s="11"/>
      <c r="S766" s="11"/>
      <c r="T766" s="11"/>
      <c r="U766" s="11"/>
      <c r="V766" s="11"/>
      <c r="W766" s="11"/>
      <c r="X766" s="11"/>
      <c r="Y766" s="11"/>
      <c r="Z766" s="12"/>
      <c r="AA766" s="12"/>
      <c r="AB766" s="12"/>
      <c r="AC766" s="12"/>
      <c r="AD766" s="12"/>
      <c r="AE766" s="12"/>
      <c r="AF766" s="12"/>
    </row>
    <row r="767" ht="46.5" customHeight="1">
      <c r="A767" s="1"/>
      <c r="B767" s="2"/>
      <c r="C767" s="2"/>
      <c r="D767" s="3"/>
      <c r="E767" s="3"/>
      <c r="F767" s="3"/>
      <c r="G767" s="3"/>
      <c r="H767" s="4"/>
      <c r="I767" s="5"/>
      <c r="J767" s="6"/>
      <c r="K767" s="7"/>
      <c r="L767" s="8"/>
      <c r="M767" s="9"/>
      <c r="N767" s="9"/>
      <c r="O767" s="9"/>
      <c r="P767" s="10"/>
      <c r="Q767" s="11"/>
      <c r="R767" s="11"/>
      <c r="S767" s="11"/>
      <c r="T767" s="11"/>
      <c r="U767" s="11"/>
      <c r="V767" s="11"/>
      <c r="W767" s="11"/>
      <c r="X767" s="11"/>
      <c r="Y767" s="11"/>
      <c r="Z767" s="12"/>
      <c r="AA767" s="12"/>
      <c r="AB767" s="12"/>
      <c r="AC767" s="12"/>
      <c r="AD767" s="12"/>
      <c r="AE767" s="12"/>
      <c r="AF767" s="12"/>
    </row>
    <row r="768" ht="46.5" customHeight="1">
      <c r="A768" s="1"/>
      <c r="B768" s="2"/>
      <c r="C768" s="2"/>
      <c r="D768" s="3"/>
      <c r="E768" s="3"/>
      <c r="F768" s="3"/>
      <c r="G768" s="3"/>
      <c r="H768" s="4"/>
      <c r="I768" s="5"/>
      <c r="J768" s="6"/>
      <c r="K768" s="7"/>
      <c r="L768" s="8"/>
      <c r="M768" s="9"/>
      <c r="N768" s="9"/>
      <c r="O768" s="9"/>
      <c r="P768" s="10"/>
      <c r="Q768" s="11"/>
      <c r="R768" s="11"/>
      <c r="S768" s="11"/>
      <c r="T768" s="11"/>
      <c r="U768" s="11"/>
      <c r="V768" s="11"/>
      <c r="W768" s="11"/>
      <c r="X768" s="11"/>
      <c r="Y768" s="11"/>
      <c r="Z768" s="12"/>
      <c r="AA768" s="12"/>
      <c r="AB768" s="12"/>
      <c r="AC768" s="12"/>
      <c r="AD768" s="12"/>
      <c r="AE768" s="12"/>
      <c r="AF768" s="12"/>
    </row>
    <row r="769" ht="46.5" customHeight="1">
      <c r="A769" s="1"/>
      <c r="B769" s="2"/>
      <c r="C769" s="2"/>
      <c r="D769" s="3"/>
      <c r="E769" s="3"/>
      <c r="F769" s="3"/>
      <c r="G769" s="3"/>
      <c r="H769" s="4"/>
      <c r="I769" s="5"/>
      <c r="J769" s="6"/>
      <c r="K769" s="7"/>
      <c r="L769" s="8"/>
      <c r="M769" s="9"/>
      <c r="N769" s="9"/>
      <c r="O769" s="9"/>
      <c r="P769" s="10"/>
      <c r="Q769" s="11"/>
      <c r="R769" s="11"/>
      <c r="S769" s="11"/>
      <c r="T769" s="11"/>
      <c r="U769" s="11"/>
      <c r="V769" s="11"/>
      <c r="W769" s="11"/>
      <c r="X769" s="11"/>
      <c r="Y769" s="11"/>
      <c r="Z769" s="12"/>
      <c r="AA769" s="12"/>
      <c r="AB769" s="12"/>
      <c r="AC769" s="12"/>
      <c r="AD769" s="12"/>
      <c r="AE769" s="12"/>
      <c r="AF769" s="12"/>
    </row>
    <row r="770" ht="46.5" customHeight="1">
      <c r="A770" s="1"/>
      <c r="B770" s="2"/>
      <c r="C770" s="2"/>
      <c r="D770" s="3"/>
      <c r="E770" s="3"/>
      <c r="F770" s="3"/>
      <c r="G770" s="3"/>
      <c r="H770" s="4"/>
      <c r="I770" s="5"/>
      <c r="J770" s="6"/>
      <c r="K770" s="7"/>
      <c r="L770" s="8"/>
      <c r="M770" s="9"/>
      <c r="N770" s="9"/>
      <c r="O770" s="9"/>
      <c r="P770" s="10"/>
      <c r="Q770" s="11"/>
      <c r="R770" s="11"/>
      <c r="S770" s="11"/>
      <c r="T770" s="11"/>
      <c r="U770" s="11"/>
      <c r="V770" s="11"/>
      <c r="W770" s="11"/>
      <c r="X770" s="11"/>
      <c r="Y770" s="11"/>
      <c r="Z770" s="12"/>
      <c r="AA770" s="12"/>
      <c r="AB770" s="12"/>
      <c r="AC770" s="12"/>
      <c r="AD770" s="12"/>
      <c r="AE770" s="12"/>
      <c r="AF770" s="12"/>
    </row>
    <row r="771" ht="46.5" customHeight="1">
      <c r="A771" s="1"/>
      <c r="B771" s="2"/>
      <c r="C771" s="2"/>
      <c r="D771" s="3"/>
      <c r="E771" s="3"/>
      <c r="F771" s="3"/>
      <c r="G771" s="3"/>
      <c r="H771" s="4"/>
      <c r="I771" s="5"/>
      <c r="J771" s="6"/>
      <c r="K771" s="7"/>
      <c r="L771" s="8"/>
      <c r="M771" s="9"/>
      <c r="N771" s="9"/>
      <c r="O771" s="9"/>
      <c r="P771" s="10"/>
      <c r="Q771" s="11"/>
      <c r="R771" s="11"/>
      <c r="S771" s="11"/>
      <c r="T771" s="11"/>
      <c r="U771" s="11"/>
      <c r="V771" s="11"/>
      <c r="W771" s="11"/>
      <c r="X771" s="11"/>
      <c r="Y771" s="11"/>
      <c r="Z771" s="12"/>
      <c r="AA771" s="12"/>
      <c r="AB771" s="12"/>
      <c r="AC771" s="12"/>
      <c r="AD771" s="12"/>
      <c r="AE771" s="12"/>
      <c r="AF771" s="12"/>
    </row>
    <row r="772" ht="46.5" customHeight="1">
      <c r="A772" s="1"/>
      <c r="B772" s="2"/>
      <c r="C772" s="2"/>
      <c r="D772" s="3"/>
      <c r="E772" s="3"/>
      <c r="F772" s="3"/>
      <c r="G772" s="3"/>
      <c r="H772" s="4"/>
      <c r="I772" s="5"/>
      <c r="J772" s="6"/>
      <c r="K772" s="7"/>
      <c r="L772" s="8"/>
      <c r="M772" s="9"/>
      <c r="N772" s="9"/>
      <c r="O772" s="9"/>
      <c r="P772" s="10"/>
      <c r="Q772" s="11"/>
      <c r="R772" s="11"/>
      <c r="S772" s="11"/>
      <c r="T772" s="11"/>
      <c r="U772" s="11"/>
      <c r="V772" s="11"/>
      <c r="W772" s="11"/>
      <c r="X772" s="11"/>
      <c r="Y772" s="11"/>
      <c r="Z772" s="12"/>
      <c r="AA772" s="12"/>
      <c r="AB772" s="12"/>
      <c r="AC772" s="12"/>
      <c r="AD772" s="12"/>
      <c r="AE772" s="12"/>
      <c r="AF772" s="12"/>
    </row>
    <row r="773" ht="46.5" customHeight="1">
      <c r="A773" s="1"/>
      <c r="B773" s="2"/>
      <c r="C773" s="2"/>
      <c r="D773" s="3"/>
      <c r="E773" s="3"/>
      <c r="F773" s="3"/>
      <c r="G773" s="3"/>
      <c r="H773" s="4"/>
      <c r="I773" s="5"/>
      <c r="J773" s="6"/>
      <c r="K773" s="7"/>
      <c r="L773" s="8"/>
      <c r="M773" s="9"/>
      <c r="N773" s="9"/>
      <c r="O773" s="9"/>
      <c r="P773" s="10"/>
      <c r="Q773" s="11"/>
      <c r="R773" s="11"/>
      <c r="S773" s="11"/>
      <c r="T773" s="11"/>
      <c r="U773" s="11"/>
      <c r="V773" s="11"/>
      <c r="W773" s="11"/>
      <c r="X773" s="11"/>
      <c r="Y773" s="11"/>
      <c r="Z773" s="12"/>
      <c r="AA773" s="12"/>
      <c r="AB773" s="12"/>
      <c r="AC773" s="12"/>
      <c r="AD773" s="12"/>
      <c r="AE773" s="12"/>
      <c r="AF773" s="12"/>
    </row>
    <row r="774" ht="46.5" customHeight="1">
      <c r="A774" s="1"/>
      <c r="B774" s="2"/>
      <c r="C774" s="2"/>
      <c r="D774" s="3"/>
      <c r="E774" s="3"/>
      <c r="F774" s="3"/>
      <c r="G774" s="3"/>
      <c r="H774" s="4"/>
      <c r="I774" s="5"/>
      <c r="J774" s="6"/>
      <c r="K774" s="7"/>
      <c r="L774" s="8"/>
      <c r="M774" s="9"/>
      <c r="N774" s="9"/>
      <c r="O774" s="9"/>
      <c r="P774" s="10"/>
      <c r="Q774" s="11"/>
      <c r="R774" s="11"/>
      <c r="S774" s="11"/>
      <c r="T774" s="11"/>
      <c r="U774" s="11"/>
      <c r="V774" s="11"/>
      <c r="W774" s="11"/>
      <c r="X774" s="11"/>
      <c r="Y774" s="11"/>
      <c r="Z774" s="12"/>
      <c r="AA774" s="12"/>
      <c r="AB774" s="12"/>
      <c r="AC774" s="12"/>
      <c r="AD774" s="12"/>
      <c r="AE774" s="12"/>
      <c r="AF774" s="12"/>
    </row>
    <row r="775" ht="46.5" customHeight="1">
      <c r="A775" s="1"/>
      <c r="B775" s="2"/>
      <c r="C775" s="2"/>
      <c r="D775" s="3"/>
      <c r="E775" s="3"/>
      <c r="F775" s="3"/>
      <c r="G775" s="3"/>
      <c r="H775" s="4"/>
      <c r="I775" s="5"/>
      <c r="J775" s="6"/>
      <c r="K775" s="7"/>
      <c r="L775" s="8"/>
      <c r="M775" s="9"/>
      <c r="N775" s="9"/>
      <c r="O775" s="9"/>
      <c r="P775" s="10"/>
      <c r="Q775" s="11"/>
      <c r="R775" s="11"/>
      <c r="S775" s="11"/>
      <c r="T775" s="11"/>
      <c r="U775" s="11"/>
      <c r="V775" s="11"/>
      <c r="W775" s="11"/>
      <c r="X775" s="11"/>
      <c r="Y775" s="11"/>
      <c r="Z775" s="12"/>
      <c r="AA775" s="12"/>
      <c r="AB775" s="12"/>
      <c r="AC775" s="12"/>
      <c r="AD775" s="12"/>
      <c r="AE775" s="12"/>
      <c r="AF775" s="12"/>
    </row>
    <row r="776" ht="46.5" customHeight="1">
      <c r="A776" s="1"/>
      <c r="B776" s="2"/>
      <c r="C776" s="2"/>
      <c r="D776" s="3"/>
      <c r="E776" s="3"/>
      <c r="F776" s="3"/>
      <c r="G776" s="3"/>
      <c r="H776" s="4"/>
      <c r="I776" s="5"/>
      <c r="J776" s="6"/>
      <c r="K776" s="7"/>
      <c r="L776" s="8"/>
      <c r="M776" s="9"/>
      <c r="N776" s="9"/>
      <c r="O776" s="9"/>
      <c r="P776" s="10"/>
      <c r="Q776" s="11"/>
      <c r="R776" s="11"/>
      <c r="S776" s="11"/>
      <c r="T776" s="11"/>
      <c r="U776" s="11"/>
      <c r="V776" s="11"/>
      <c r="W776" s="11"/>
      <c r="X776" s="11"/>
      <c r="Y776" s="11"/>
      <c r="Z776" s="12"/>
      <c r="AA776" s="12"/>
      <c r="AB776" s="12"/>
      <c r="AC776" s="12"/>
      <c r="AD776" s="12"/>
      <c r="AE776" s="12"/>
      <c r="AF776" s="12"/>
    </row>
    <row r="777" ht="46.5" customHeight="1">
      <c r="A777" s="1"/>
      <c r="B777" s="2"/>
      <c r="C777" s="2"/>
      <c r="D777" s="3"/>
      <c r="E777" s="3"/>
      <c r="F777" s="3"/>
      <c r="G777" s="3"/>
      <c r="H777" s="4"/>
      <c r="I777" s="5"/>
      <c r="J777" s="6"/>
      <c r="K777" s="7"/>
      <c r="L777" s="8"/>
      <c r="M777" s="9"/>
      <c r="N777" s="9"/>
      <c r="O777" s="9"/>
      <c r="P777" s="10"/>
      <c r="Q777" s="11"/>
      <c r="R777" s="11"/>
      <c r="S777" s="11"/>
      <c r="T777" s="11"/>
      <c r="U777" s="11"/>
      <c r="V777" s="11"/>
      <c r="W777" s="11"/>
      <c r="X777" s="11"/>
      <c r="Y777" s="11"/>
      <c r="Z777" s="12"/>
      <c r="AA777" s="12"/>
      <c r="AB777" s="12"/>
      <c r="AC777" s="12"/>
      <c r="AD777" s="12"/>
      <c r="AE777" s="12"/>
      <c r="AF777" s="12"/>
    </row>
    <row r="778" ht="46.5" customHeight="1">
      <c r="A778" s="1"/>
      <c r="B778" s="2"/>
      <c r="C778" s="2"/>
      <c r="D778" s="3"/>
      <c r="E778" s="3"/>
      <c r="F778" s="3"/>
      <c r="G778" s="3"/>
      <c r="H778" s="4"/>
      <c r="I778" s="5"/>
      <c r="J778" s="6"/>
      <c r="K778" s="7"/>
      <c r="L778" s="8"/>
      <c r="M778" s="9"/>
      <c r="N778" s="9"/>
      <c r="O778" s="9"/>
      <c r="P778" s="10"/>
      <c r="Q778" s="11"/>
      <c r="R778" s="11"/>
      <c r="S778" s="11"/>
      <c r="T778" s="11"/>
      <c r="U778" s="11"/>
      <c r="V778" s="11"/>
      <c r="W778" s="11"/>
      <c r="X778" s="11"/>
      <c r="Y778" s="11"/>
      <c r="Z778" s="12"/>
      <c r="AA778" s="12"/>
      <c r="AB778" s="12"/>
      <c r="AC778" s="12"/>
      <c r="AD778" s="12"/>
      <c r="AE778" s="12"/>
      <c r="AF778" s="12"/>
    </row>
    <row r="779" ht="46.5" customHeight="1">
      <c r="A779" s="1"/>
      <c r="B779" s="2"/>
      <c r="C779" s="2"/>
      <c r="D779" s="3"/>
      <c r="E779" s="3"/>
      <c r="F779" s="3"/>
      <c r="G779" s="3"/>
      <c r="H779" s="4"/>
      <c r="I779" s="5"/>
      <c r="J779" s="6"/>
      <c r="K779" s="7"/>
      <c r="L779" s="8"/>
      <c r="M779" s="9"/>
      <c r="N779" s="9"/>
      <c r="O779" s="9"/>
      <c r="P779" s="10"/>
      <c r="Q779" s="11"/>
      <c r="R779" s="11"/>
      <c r="S779" s="11"/>
      <c r="T779" s="11"/>
      <c r="U779" s="11"/>
      <c r="V779" s="11"/>
      <c r="W779" s="11"/>
      <c r="X779" s="11"/>
      <c r="Y779" s="11"/>
      <c r="Z779" s="12"/>
      <c r="AA779" s="12"/>
      <c r="AB779" s="12"/>
      <c r="AC779" s="12"/>
      <c r="AD779" s="12"/>
      <c r="AE779" s="12"/>
      <c r="AF779" s="12"/>
    </row>
    <row r="780" ht="46.5" customHeight="1">
      <c r="A780" s="1"/>
      <c r="B780" s="2"/>
      <c r="C780" s="2"/>
      <c r="D780" s="3"/>
      <c r="E780" s="3"/>
      <c r="F780" s="3"/>
      <c r="G780" s="3"/>
      <c r="H780" s="4"/>
      <c r="I780" s="5"/>
      <c r="J780" s="6"/>
      <c r="K780" s="7"/>
      <c r="L780" s="8"/>
      <c r="M780" s="9"/>
      <c r="N780" s="9"/>
      <c r="O780" s="9"/>
      <c r="P780" s="10"/>
      <c r="Q780" s="11"/>
      <c r="R780" s="11"/>
      <c r="S780" s="11"/>
      <c r="T780" s="11"/>
      <c r="U780" s="11"/>
      <c r="V780" s="11"/>
      <c r="W780" s="11"/>
      <c r="X780" s="11"/>
      <c r="Y780" s="11"/>
      <c r="Z780" s="12"/>
      <c r="AA780" s="12"/>
      <c r="AB780" s="12"/>
      <c r="AC780" s="12"/>
      <c r="AD780" s="12"/>
      <c r="AE780" s="12"/>
      <c r="AF780" s="12"/>
    </row>
    <row r="781" ht="46.5" customHeight="1">
      <c r="A781" s="1"/>
      <c r="B781" s="2"/>
      <c r="C781" s="2"/>
      <c r="D781" s="3"/>
      <c r="E781" s="3"/>
      <c r="F781" s="3"/>
      <c r="G781" s="3"/>
      <c r="H781" s="4"/>
      <c r="I781" s="5"/>
      <c r="J781" s="6"/>
      <c r="K781" s="7"/>
      <c r="L781" s="8"/>
      <c r="M781" s="9"/>
      <c r="N781" s="9"/>
      <c r="O781" s="9"/>
      <c r="P781" s="10"/>
      <c r="Q781" s="11"/>
      <c r="R781" s="11"/>
      <c r="S781" s="11"/>
      <c r="T781" s="11"/>
      <c r="U781" s="11"/>
      <c r="V781" s="11"/>
      <c r="W781" s="11"/>
      <c r="X781" s="11"/>
      <c r="Y781" s="11"/>
      <c r="Z781" s="12"/>
      <c r="AA781" s="12"/>
      <c r="AB781" s="12"/>
      <c r="AC781" s="12"/>
      <c r="AD781" s="12"/>
      <c r="AE781" s="12"/>
      <c r="AF781" s="12"/>
    </row>
    <row r="782" ht="46.5" customHeight="1">
      <c r="A782" s="1"/>
      <c r="B782" s="2"/>
      <c r="C782" s="2"/>
      <c r="D782" s="3"/>
      <c r="E782" s="3"/>
      <c r="F782" s="3"/>
      <c r="G782" s="3"/>
      <c r="H782" s="4"/>
      <c r="I782" s="5"/>
      <c r="J782" s="6"/>
      <c r="K782" s="7"/>
      <c r="L782" s="8"/>
      <c r="M782" s="9"/>
      <c r="N782" s="9"/>
      <c r="O782" s="9"/>
      <c r="P782" s="10"/>
      <c r="Q782" s="11"/>
      <c r="R782" s="11"/>
      <c r="S782" s="11"/>
      <c r="T782" s="11"/>
      <c r="U782" s="11"/>
      <c r="V782" s="11"/>
      <c r="W782" s="11"/>
      <c r="X782" s="11"/>
      <c r="Y782" s="11"/>
      <c r="Z782" s="12"/>
      <c r="AA782" s="12"/>
      <c r="AB782" s="12"/>
      <c r="AC782" s="12"/>
      <c r="AD782" s="12"/>
      <c r="AE782" s="12"/>
      <c r="AF782" s="12"/>
    </row>
    <row r="783" ht="46.5" customHeight="1">
      <c r="A783" s="1"/>
      <c r="B783" s="2"/>
      <c r="C783" s="2"/>
      <c r="D783" s="3"/>
      <c r="E783" s="3"/>
      <c r="F783" s="3"/>
      <c r="G783" s="3"/>
      <c r="H783" s="4"/>
      <c r="I783" s="5"/>
      <c r="J783" s="6"/>
      <c r="K783" s="7"/>
      <c r="L783" s="8"/>
      <c r="M783" s="9"/>
      <c r="N783" s="9"/>
      <c r="O783" s="9"/>
      <c r="P783" s="10"/>
      <c r="Q783" s="11"/>
      <c r="R783" s="11"/>
      <c r="S783" s="11"/>
      <c r="T783" s="11"/>
      <c r="U783" s="11"/>
      <c r="V783" s="11"/>
      <c r="W783" s="11"/>
      <c r="X783" s="11"/>
      <c r="Y783" s="11"/>
      <c r="Z783" s="12"/>
      <c r="AA783" s="12"/>
      <c r="AB783" s="12"/>
      <c r="AC783" s="12"/>
      <c r="AD783" s="12"/>
      <c r="AE783" s="12"/>
      <c r="AF783" s="12"/>
    </row>
    <row r="784" ht="46.5" customHeight="1">
      <c r="A784" s="1"/>
      <c r="B784" s="2"/>
      <c r="C784" s="2"/>
      <c r="D784" s="3"/>
      <c r="E784" s="3"/>
      <c r="F784" s="3"/>
      <c r="G784" s="3"/>
      <c r="H784" s="4"/>
      <c r="I784" s="5"/>
      <c r="J784" s="6"/>
      <c r="K784" s="7"/>
      <c r="L784" s="8"/>
      <c r="M784" s="9"/>
      <c r="N784" s="9"/>
      <c r="O784" s="9"/>
      <c r="P784" s="10"/>
      <c r="Q784" s="11"/>
      <c r="R784" s="11"/>
      <c r="S784" s="11"/>
      <c r="T784" s="11"/>
      <c r="U784" s="11"/>
      <c r="V784" s="11"/>
      <c r="W784" s="11"/>
      <c r="X784" s="11"/>
      <c r="Y784" s="11"/>
      <c r="Z784" s="12"/>
      <c r="AA784" s="12"/>
      <c r="AB784" s="12"/>
      <c r="AC784" s="12"/>
      <c r="AD784" s="12"/>
      <c r="AE784" s="12"/>
      <c r="AF784" s="12"/>
    </row>
    <row r="785" ht="46.5" customHeight="1">
      <c r="A785" s="1"/>
      <c r="B785" s="2"/>
      <c r="C785" s="2"/>
      <c r="D785" s="3"/>
      <c r="E785" s="3"/>
      <c r="F785" s="3"/>
      <c r="G785" s="3"/>
      <c r="H785" s="4"/>
      <c r="I785" s="5"/>
      <c r="J785" s="6"/>
      <c r="K785" s="7"/>
      <c r="L785" s="8"/>
      <c r="M785" s="9"/>
      <c r="N785" s="9"/>
      <c r="O785" s="9"/>
      <c r="P785" s="10"/>
      <c r="Q785" s="11"/>
      <c r="R785" s="11"/>
      <c r="S785" s="11"/>
      <c r="T785" s="11"/>
      <c r="U785" s="11"/>
      <c r="V785" s="11"/>
      <c r="W785" s="11"/>
      <c r="X785" s="11"/>
      <c r="Y785" s="11"/>
      <c r="Z785" s="12"/>
      <c r="AA785" s="12"/>
      <c r="AB785" s="12"/>
      <c r="AC785" s="12"/>
      <c r="AD785" s="12"/>
      <c r="AE785" s="12"/>
      <c r="AF785" s="12"/>
    </row>
    <row r="786" ht="46.5" customHeight="1">
      <c r="A786" s="1"/>
      <c r="B786" s="2"/>
      <c r="C786" s="2"/>
      <c r="D786" s="3"/>
      <c r="E786" s="3"/>
      <c r="F786" s="3"/>
      <c r="G786" s="3"/>
      <c r="H786" s="4"/>
      <c r="I786" s="5"/>
      <c r="J786" s="6"/>
      <c r="K786" s="7"/>
      <c r="L786" s="8"/>
      <c r="M786" s="9"/>
      <c r="N786" s="9"/>
      <c r="O786" s="9"/>
      <c r="P786" s="10"/>
      <c r="Q786" s="11"/>
      <c r="R786" s="11"/>
      <c r="S786" s="11"/>
      <c r="T786" s="11"/>
      <c r="U786" s="11"/>
      <c r="V786" s="11"/>
      <c r="W786" s="11"/>
      <c r="X786" s="11"/>
      <c r="Y786" s="11"/>
      <c r="Z786" s="12"/>
      <c r="AA786" s="12"/>
      <c r="AB786" s="12"/>
      <c r="AC786" s="12"/>
      <c r="AD786" s="12"/>
      <c r="AE786" s="12"/>
      <c r="AF786" s="12"/>
    </row>
    <row r="787" ht="46.5" customHeight="1">
      <c r="A787" s="1"/>
      <c r="B787" s="2"/>
      <c r="C787" s="2"/>
      <c r="D787" s="3"/>
      <c r="E787" s="3"/>
      <c r="F787" s="3"/>
      <c r="G787" s="3"/>
      <c r="H787" s="4"/>
      <c r="I787" s="5"/>
      <c r="J787" s="6"/>
      <c r="K787" s="7"/>
      <c r="L787" s="8"/>
      <c r="M787" s="9"/>
      <c r="N787" s="9"/>
      <c r="O787" s="9"/>
      <c r="P787" s="10"/>
      <c r="Q787" s="11"/>
      <c r="R787" s="11"/>
      <c r="S787" s="11"/>
      <c r="T787" s="11"/>
      <c r="U787" s="11"/>
      <c r="V787" s="11"/>
      <c r="W787" s="11"/>
      <c r="X787" s="11"/>
      <c r="Y787" s="11"/>
      <c r="Z787" s="12"/>
      <c r="AA787" s="12"/>
      <c r="AB787" s="12"/>
      <c r="AC787" s="12"/>
      <c r="AD787" s="12"/>
      <c r="AE787" s="12"/>
      <c r="AF787" s="12"/>
    </row>
    <row r="788" ht="46.5" customHeight="1">
      <c r="A788" s="1"/>
      <c r="B788" s="2"/>
      <c r="C788" s="2"/>
      <c r="D788" s="3"/>
      <c r="E788" s="3"/>
      <c r="F788" s="3"/>
      <c r="G788" s="3"/>
      <c r="H788" s="4"/>
      <c r="I788" s="5"/>
      <c r="J788" s="6"/>
      <c r="K788" s="7"/>
      <c r="L788" s="8"/>
      <c r="M788" s="9"/>
      <c r="N788" s="9"/>
      <c r="O788" s="9"/>
      <c r="P788" s="10"/>
      <c r="Q788" s="11"/>
      <c r="R788" s="11"/>
      <c r="S788" s="11"/>
      <c r="T788" s="11"/>
      <c r="U788" s="11"/>
      <c r="V788" s="11"/>
      <c r="W788" s="11"/>
      <c r="X788" s="11"/>
      <c r="Y788" s="11"/>
      <c r="Z788" s="12"/>
      <c r="AA788" s="12"/>
      <c r="AB788" s="12"/>
      <c r="AC788" s="12"/>
      <c r="AD788" s="12"/>
      <c r="AE788" s="12"/>
      <c r="AF788" s="12"/>
    </row>
    <row r="789" ht="46.5" customHeight="1">
      <c r="A789" s="1"/>
      <c r="B789" s="2"/>
      <c r="C789" s="2"/>
      <c r="D789" s="3"/>
      <c r="E789" s="3"/>
      <c r="F789" s="3"/>
      <c r="G789" s="3"/>
      <c r="H789" s="4"/>
      <c r="I789" s="5"/>
      <c r="J789" s="6"/>
      <c r="K789" s="7"/>
      <c r="L789" s="8"/>
      <c r="M789" s="9"/>
      <c r="N789" s="9"/>
      <c r="O789" s="9"/>
      <c r="P789" s="10"/>
      <c r="Q789" s="11"/>
      <c r="R789" s="11"/>
      <c r="S789" s="11"/>
      <c r="T789" s="11"/>
      <c r="U789" s="11"/>
      <c r="V789" s="11"/>
      <c r="W789" s="11"/>
      <c r="X789" s="11"/>
      <c r="Y789" s="11"/>
      <c r="Z789" s="12"/>
      <c r="AA789" s="12"/>
      <c r="AB789" s="12"/>
      <c r="AC789" s="12"/>
      <c r="AD789" s="12"/>
      <c r="AE789" s="12"/>
      <c r="AF789" s="12"/>
    </row>
    <row r="790" ht="46.5" customHeight="1">
      <c r="A790" s="1"/>
      <c r="B790" s="2"/>
      <c r="C790" s="2"/>
      <c r="D790" s="3"/>
      <c r="E790" s="3"/>
      <c r="F790" s="3"/>
      <c r="G790" s="3"/>
      <c r="H790" s="4"/>
      <c r="I790" s="5"/>
      <c r="J790" s="6"/>
      <c r="K790" s="7"/>
      <c r="L790" s="8"/>
      <c r="M790" s="9"/>
      <c r="N790" s="9"/>
      <c r="O790" s="9"/>
      <c r="P790" s="10"/>
      <c r="Q790" s="11"/>
      <c r="R790" s="11"/>
      <c r="S790" s="11"/>
      <c r="T790" s="11"/>
      <c r="U790" s="11"/>
      <c r="V790" s="11"/>
      <c r="W790" s="11"/>
      <c r="X790" s="11"/>
      <c r="Y790" s="11"/>
      <c r="Z790" s="12"/>
      <c r="AA790" s="12"/>
      <c r="AB790" s="12"/>
      <c r="AC790" s="12"/>
      <c r="AD790" s="12"/>
      <c r="AE790" s="12"/>
      <c r="AF790" s="12"/>
    </row>
    <row r="791" ht="46.5" customHeight="1">
      <c r="A791" s="1"/>
      <c r="B791" s="2"/>
      <c r="C791" s="2"/>
      <c r="D791" s="3"/>
      <c r="E791" s="3"/>
      <c r="F791" s="3"/>
      <c r="G791" s="3"/>
      <c r="H791" s="4"/>
      <c r="I791" s="5"/>
      <c r="J791" s="6"/>
      <c r="K791" s="7"/>
      <c r="L791" s="8"/>
      <c r="M791" s="9"/>
      <c r="N791" s="9"/>
      <c r="O791" s="9"/>
      <c r="P791" s="10"/>
      <c r="Q791" s="11"/>
      <c r="R791" s="11"/>
      <c r="S791" s="11"/>
      <c r="T791" s="11"/>
      <c r="U791" s="11"/>
      <c r="V791" s="11"/>
      <c r="W791" s="11"/>
      <c r="X791" s="11"/>
      <c r="Y791" s="11"/>
      <c r="Z791" s="12"/>
      <c r="AA791" s="12"/>
      <c r="AB791" s="12"/>
      <c r="AC791" s="12"/>
      <c r="AD791" s="12"/>
      <c r="AE791" s="12"/>
      <c r="AF791" s="12"/>
    </row>
    <row r="792" ht="46.5" customHeight="1">
      <c r="A792" s="1"/>
      <c r="B792" s="2"/>
      <c r="C792" s="2"/>
      <c r="D792" s="3"/>
      <c r="E792" s="3"/>
      <c r="F792" s="3"/>
      <c r="G792" s="3"/>
      <c r="H792" s="4"/>
      <c r="I792" s="5"/>
      <c r="J792" s="6"/>
      <c r="K792" s="7"/>
      <c r="L792" s="8"/>
      <c r="M792" s="9"/>
      <c r="N792" s="9"/>
      <c r="O792" s="9"/>
      <c r="P792" s="10"/>
      <c r="Q792" s="11"/>
      <c r="R792" s="11"/>
      <c r="S792" s="11"/>
      <c r="T792" s="11"/>
      <c r="U792" s="11"/>
      <c r="V792" s="11"/>
      <c r="W792" s="11"/>
      <c r="X792" s="11"/>
      <c r="Y792" s="11"/>
      <c r="Z792" s="12"/>
      <c r="AA792" s="12"/>
      <c r="AB792" s="12"/>
      <c r="AC792" s="12"/>
      <c r="AD792" s="12"/>
      <c r="AE792" s="12"/>
      <c r="AF792" s="12"/>
    </row>
    <row r="793" ht="46.5" customHeight="1">
      <c r="A793" s="1"/>
      <c r="B793" s="2"/>
      <c r="C793" s="2"/>
      <c r="D793" s="3"/>
      <c r="E793" s="3"/>
      <c r="F793" s="3"/>
      <c r="G793" s="3"/>
      <c r="H793" s="4"/>
      <c r="I793" s="5"/>
      <c r="J793" s="6"/>
      <c r="K793" s="7"/>
      <c r="L793" s="8"/>
      <c r="M793" s="9"/>
      <c r="N793" s="9"/>
      <c r="O793" s="9"/>
      <c r="P793" s="10"/>
      <c r="Q793" s="11"/>
      <c r="R793" s="11"/>
      <c r="S793" s="11"/>
      <c r="T793" s="11"/>
      <c r="U793" s="11"/>
      <c r="V793" s="11"/>
      <c r="W793" s="11"/>
      <c r="X793" s="11"/>
      <c r="Y793" s="11"/>
      <c r="Z793" s="12"/>
      <c r="AA793" s="12"/>
      <c r="AB793" s="12"/>
      <c r="AC793" s="12"/>
      <c r="AD793" s="12"/>
      <c r="AE793" s="12"/>
      <c r="AF793" s="12"/>
    </row>
    <row r="794" ht="46.5" customHeight="1">
      <c r="A794" s="1"/>
      <c r="B794" s="2"/>
      <c r="C794" s="2"/>
      <c r="D794" s="3"/>
      <c r="E794" s="3"/>
      <c r="F794" s="3"/>
      <c r="G794" s="3"/>
      <c r="H794" s="4"/>
      <c r="I794" s="5"/>
      <c r="J794" s="6"/>
      <c r="K794" s="7"/>
      <c r="L794" s="8"/>
      <c r="M794" s="9"/>
      <c r="N794" s="9"/>
      <c r="O794" s="9"/>
      <c r="P794" s="10"/>
      <c r="Q794" s="11"/>
      <c r="R794" s="11"/>
      <c r="S794" s="11"/>
      <c r="T794" s="11"/>
      <c r="U794" s="11"/>
      <c r="V794" s="11"/>
      <c r="W794" s="11"/>
      <c r="X794" s="11"/>
      <c r="Y794" s="11"/>
      <c r="Z794" s="12"/>
      <c r="AA794" s="12"/>
      <c r="AB794" s="12"/>
      <c r="AC794" s="12"/>
      <c r="AD794" s="12"/>
      <c r="AE794" s="12"/>
      <c r="AF794" s="12"/>
    </row>
    <row r="795" ht="46.5" customHeight="1">
      <c r="A795" s="1"/>
      <c r="B795" s="2"/>
      <c r="C795" s="2"/>
      <c r="D795" s="3"/>
      <c r="E795" s="3"/>
      <c r="F795" s="3"/>
      <c r="G795" s="3"/>
      <c r="H795" s="4"/>
      <c r="I795" s="5"/>
      <c r="J795" s="6"/>
      <c r="K795" s="7"/>
      <c r="L795" s="8"/>
      <c r="M795" s="9"/>
      <c r="N795" s="9"/>
      <c r="O795" s="9"/>
      <c r="P795" s="10"/>
      <c r="Q795" s="11"/>
      <c r="R795" s="11"/>
      <c r="S795" s="11"/>
      <c r="T795" s="11"/>
      <c r="U795" s="11"/>
      <c r="V795" s="11"/>
      <c r="W795" s="11"/>
      <c r="X795" s="11"/>
      <c r="Y795" s="11"/>
      <c r="Z795" s="12"/>
      <c r="AA795" s="12"/>
      <c r="AB795" s="12"/>
      <c r="AC795" s="12"/>
      <c r="AD795" s="12"/>
      <c r="AE795" s="12"/>
      <c r="AF795" s="12"/>
    </row>
    <row r="796" ht="46.5" customHeight="1">
      <c r="A796" s="1"/>
      <c r="B796" s="2"/>
      <c r="C796" s="2"/>
      <c r="D796" s="3"/>
      <c r="E796" s="3"/>
      <c r="F796" s="3"/>
      <c r="G796" s="3"/>
      <c r="H796" s="4"/>
      <c r="I796" s="5"/>
      <c r="J796" s="6"/>
      <c r="K796" s="7"/>
      <c r="L796" s="8"/>
      <c r="M796" s="9"/>
      <c r="N796" s="9"/>
      <c r="O796" s="9"/>
      <c r="P796" s="10"/>
      <c r="Q796" s="11"/>
      <c r="R796" s="11"/>
      <c r="S796" s="11"/>
      <c r="T796" s="11"/>
      <c r="U796" s="11"/>
      <c r="V796" s="11"/>
      <c r="W796" s="11"/>
      <c r="X796" s="11"/>
      <c r="Y796" s="11"/>
      <c r="Z796" s="12"/>
      <c r="AA796" s="12"/>
      <c r="AB796" s="12"/>
      <c r="AC796" s="12"/>
      <c r="AD796" s="12"/>
      <c r="AE796" s="12"/>
      <c r="AF796" s="12"/>
    </row>
    <row r="797" ht="46.5" customHeight="1">
      <c r="A797" s="1"/>
      <c r="B797" s="2"/>
      <c r="C797" s="2"/>
      <c r="D797" s="3"/>
      <c r="E797" s="3"/>
      <c r="F797" s="3"/>
      <c r="G797" s="3"/>
      <c r="H797" s="4"/>
      <c r="I797" s="5"/>
      <c r="J797" s="6"/>
      <c r="K797" s="7"/>
      <c r="L797" s="8"/>
      <c r="M797" s="9"/>
      <c r="N797" s="9"/>
      <c r="O797" s="9"/>
      <c r="P797" s="10"/>
      <c r="Q797" s="11"/>
      <c r="R797" s="11"/>
      <c r="S797" s="11"/>
      <c r="T797" s="11"/>
      <c r="U797" s="11"/>
      <c r="V797" s="11"/>
      <c r="W797" s="11"/>
      <c r="X797" s="11"/>
      <c r="Y797" s="11"/>
      <c r="Z797" s="12"/>
      <c r="AA797" s="12"/>
      <c r="AB797" s="12"/>
      <c r="AC797" s="12"/>
      <c r="AD797" s="12"/>
      <c r="AE797" s="12"/>
      <c r="AF797" s="12"/>
    </row>
    <row r="798" ht="46.5" customHeight="1">
      <c r="A798" s="1"/>
      <c r="B798" s="2"/>
      <c r="C798" s="2"/>
      <c r="D798" s="3"/>
      <c r="E798" s="3"/>
      <c r="F798" s="3"/>
      <c r="G798" s="3"/>
      <c r="H798" s="4"/>
      <c r="I798" s="5"/>
      <c r="J798" s="6"/>
      <c r="K798" s="7"/>
      <c r="L798" s="8"/>
      <c r="M798" s="9"/>
      <c r="N798" s="9"/>
      <c r="O798" s="9"/>
      <c r="P798" s="10"/>
      <c r="Q798" s="11"/>
      <c r="R798" s="11"/>
      <c r="S798" s="11"/>
      <c r="T798" s="11"/>
      <c r="U798" s="11"/>
      <c r="V798" s="11"/>
      <c r="W798" s="11"/>
      <c r="X798" s="11"/>
      <c r="Y798" s="11"/>
      <c r="Z798" s="12"/>
      <c r="AA798" s="12"/>
      <c r="AB798" s="12"/>
      <c r="AC798" s="12"/>
      <c r="AD798" s="12"/>
      <c r="AE798" s="12"/>
      <c r="AF798" s="12"/>
    </row>
    <row r="799" ht="46.5" customHeight="1">
      <c r="A799" s="1"/>
      <c r="B799" s="2"/>
      <c r="C799" s="2"/>
      <c r="D799" s="3"/>
      <c r="E799" s="3"/>
      <c r="F799" s="3"/>
      <c r="G799" s="3"/>
      <c r="H799" s="4"/>
      <c r="I799" s="5"/>
      <c r="J799" s="6"/>
      <c r="K799" s="7"/>
      <c r="L799" s="8"/>
      <c r="M799" s="9"/>
      <c r="N799" s="9"/>
      <c r="O799" s="9"/>
      <c r="P799" s="10"/>
      <c r="Q799" s="11"/>
      <c r="R799" s="11"/>
      <c r="S799" s="11"/>
      <c r="T799" s="11"/>
      <c r="U799" s="11"/>
      <c r="V799" s="11"/>
      <c r="W799" s="11"/>
      <c r="X799" s="11"/>
      <c r="Y799" s="11"/>
      <c r="Z799" s="12"/>
      <c r="AA799" s="12"/>
      <c r="AB799" s="12"/>
      <c r="AC799" s="12"/>
      <c r="AD799" s="12"/>
      <c r="AE799" s="12"/>
      <c r="AF799" s="12"/>
    </row>
    <row r="800" ht="46.5" customHeight="1">
      <c r="A800" s="1"/>
      <c r="B800" s="2"/>
      <c r="C800" s="2"/>
      <c r="D800" s="3"/>
      <c r="E800" s="3"/>
      <c r="F800" s="3"/>
      <c r="G800" s="3"/>
      <c r="H800" s="4"/>
      <c r="I800" s="5"/>
      <c r="J800" s="6"/>
      <c r="K800" s="7"/>
      <c r="L800" s="8"/>
      <c r="M800" s="9"/>
      <c r="N800" s="9"/>
      <c r="O800" s="9"/>
      <c r="P800" s="10"/>
      <c r="Q800" s="11"/>
      <c r="R800" s="11"/>
      <c r="S800" s="11"/>
      <c r="T800" s="11"/>
      <c r="U800" s="11"/>
      <c r="V800" s="11"/>
      <c r="W800" s="11"/>
      <c r="X800" s="11"/>
      <c r="Y800" s="11"/>
      <c r="Z800" s="12"/>
      <c r="AA800" s="12"/>
      <c r="AB800" s="12"/>
      <c r="AC800" s="12"/>
      <c r="AD800" s="12"/>
      <c r="AE800" s="12"/>
      <c r="AF800" s="12"/>
    </row>
    <row r="801" ht="46.5" customHeight="1">
      <c r="A801" s="1"/>
      <c r="B801" s="2"/>
      <c r="C801" s="2"/>
      <c r="D801" s="3"/>
      <c r="E801" s="3"/>
      <c r="F801" s="3"/>
      <c r="G801" s="3"/>
      <c r="H801" s="4"/>
      <c r="I801" s="5"/>
      <c r="J801" s="6"/>
      <c r="K801" s="7"/>
      <c r="L801" s="8"/>
      <c r="M801" s="9"/>
      <c r="N801" s="9"/>
      <c r="O801" s="9"/>
      <c r="P801" s="10"/>
      <c r="Q801" s="11"/>
      <c r="R801" s="11"/>
      <c r="S801" s="11"/>
      <c r="T801" s="11"/>
      <c r="U801" s="11"/>
      <c r="V801" s="11"/>
      <c r="W801" s="11"/>
      <c r="X801" s="11"/>
      <c r="Y801" s="11"/>
      <c r="Z801" s="12"/>
      <c r="AA801" s="12"/>
      <c r="AB801" s="12"/>
      <c r="AC801" s="12"/>
      <c r="AD801" s="12"/>
      <c r="AE801" s="12"/>
      <c r="AF801" s="12"/>
    </row>
    <row r="802" ht="46.5" customHeight="1">
      <c r="A802" s="1"/>
      <c r="B802" s="2"/>
      <c r="C802" s="2"/>
      <c r="D802" s="3"/>
      <c r="E802" s="3"/>
      <c r="F802" s="3"/>
      <c r="G802" s="3"/>
      <c r="H802" s="4"/>
      <c r="I802" s="5"/>
      <c r="J802" s="6"/>
      <c r="K802" s="7"/>
      <c r="L802" s="8"/>
      <c r="M802" s="9"/>
      <c r="N802" s="9"/>
      <c r="O802" s="9"/>
      <c r="P802" s="10"/>
      <c r="Q802" s="11"/>
      <c r="R802" s="11"/>
      <c r="S802" s="11"/>
      <c r="T802" s="11"/>
      <c r="U802" s="11"/>
      <c r="V802" s="11"/>
      <c r="W802" s="11"/>
      <c r="X802" s="11"/>
      <c r="Y802" s="11"/>
      <c r="Z802" s="12"/>
      <c r="AA802" s="12"/>
      <c r="AB802" s="12"/>
      <c r="AC802" s="12"/>
      <c r="AD802" s="12"/>
      <c r="AE802" s="12"/>
      <c r="AF802" s="12"/>
    </row>
    <row r="803" ht="46.5" customHeight="1">
      <c r="A803" s="1"/>
      <c r="B803" s="2"/>
      <c r="C803" s="2"/>
      <c r="D803" s="3"/>
      <c r="E803" s="3"/>
      <c r="F803" s="3"/>
      <c r="G803" s="3"/>
      <c r="H803" s="4"/>
      <c r="I803" s="5"/>
      <c r="J803" s="6"/>
      <c r="K803" s="7"/>
      <c r="L803" s="8"/>
      <c r="M803" s="9"/>
      <c r="N803" s="9"/>
      <c r="O803" s="9"/>
      <c r="P803" s="10"/>
      <c r="Q803" s="11"/>
      <c r="R803" s="11"/>
      <c r="S803" s="11"/>
      <c r="T803" s="11"/>
      <c r="U803" s="11"/>
      <c r="V803" s="11"/>
      <c r="W803" s="11"/>
      <c r="X803" s="11"/>
      <c r="Y803" s="11"/>
      <c r="Z803" s="12"/>
      <c r="AA803" s="12"/>
      <c r="AB803" s="12"/>
      <c r="AC803" s="12"/>
      <c r="AD803" s="12"/>
      <c r="AE803" s="12"/>
      <c r="AF803" s="12"/>
    </row>
    <row r="804" ht="46.5" customHeight="1">
      <c r="A804" s="1"/>
      <c r="B804" s="2"/>
      <c r="C804" s="2"/>
      <c r="D804" s="3"/>
      <c r="E804" s="3"/>
      <c r="F804" s="3"/>
      <c r="G804" s="3"/>
      <c r="H804" s="4"/>
      <c r="I804" s="5"/>
      <c r="J804" s="6"/>
      <c r="K804" s="7"/>
      <c r="L804" s="8"/>
      <c r="M804" s="9"/>
      <c r="N804" s="9"/>
      <c r="O804" s="9"/>
      <c r="P804" s="10"/>
      <c r="Q804" s="11"/>
      <c r="R804" s="11"/>
      <c r="S804" s="11"/>
      <c r="T804" s="11"/>
      <c r="U804" s="11"/>
      <c r="V804" s="11"/>
      <c r="W804" s="11"/>
      <c r="X804" s="11"/>
      <c r="Y804" s="11"/>
      <c r="Z804" s="12"/>
      <c r="AA804" s="12"/>
      <c r="AB804" s="12"/>
      <c r="AC804" s="12"/>
      <c r="AD804" s="12"/>
      <c r="AE804" s="12"/>
      <c r="AF804" s="12"/>
    </row>
    <row r="805" ht="46.5" customHeight="1">
      <c r="A805" s="1"/>
      <c r="B805" s="2"/>
      <c r="C805" s="2"/>
      <c r="D805" s="3"/>
      <c r="E805" s="3"/>
      <c r="F805" s="3"/>
      <c r="G805" s="3"/>
      <c r="H805" s="4"/>
      <c r="I805" s="5"/>
      <c r="J805" s="6"/>
      <c r="K805" s="7"/>
      <c r="L805" s="8"/>
      <c r="M805" s="9"/>
      <c r="N805" s="9"/>
      <c r="O805" s="9"/>
      <c r="P805" s="10"/>
      <c r="Q805" s="11"/>
      <c r="R805" s="11"/>
      <c r="S805" s="11"/>
      <c r="T805" s="11"/>
      <c r="U805" s="11"/>
      <c r="V805" s="11"/>
      <c r="W805" s="11"/>
      <c r="X805" s="11"/>
      <c r="Y805" s="11"/>
      <c r="Z805" s="12"/>
      <c r="AA805" s="12"/>
      <c r="AB805" s="12"/>
      <c r="AC805" s="12"/>
      <c r="AD805" s="12"/>
      <c r="AE805" s="12"/>
      <c r="AF805" s="12"/>
    </row>
    <row r="806" ht="46.5" customHeight="1">
      <c r="A806" s="1"/>
      <c r="B806" s="2"/>
      <c r="C806" s="2"/>
      <c r="D806" s="3"/>
      <c r="E806" s="3"/>
      <c r="F806" s="3"/>
      <c r="G806" s="3"/>
      <c r="H806" s="4"/>
      <c r="I806" s="5"/>
      <c r="J806" s="6"/>
      <c r="K806" s="7"/>
      <c r="L806" s="8"/>
      <c r="M806" s="9"/>
      <c r="N806" s="9"/>
      <c r="O806" s="9"/>
      <c r="P806" s="10"/>
      <c r="Q806" s="11"/>
      <c r="R806" s="11"/>
      <c r="S806" s="11"/>
      <c r="T806" s="11"/>
      <c r="U806" s="11"/>
      <c r="V806" s="11"/>
      <c r="W806" s="11"/>
      <c r="X806" s="11"/>
      <c r="Y806" s="11"/>
      <c r="Z806" s="12"/>
      <c r="AA806" s="12"/>
      <c r="AB806" s="12"/>
      <c r="AC806" s="12"/>
      <c r="AD806" s="12"/>
      <c r="AE806" s="12"/>
      <c r="AF806" s="12"/>
    </row>
    <row r="807" ht="46.5" customHeight="1">
      <c r="A807" s="1"/>
      <c r="B807" s="2"/>
      <c r="C807" s="2"/>
      <c r="D807" s="3"/>
      <c r="E807" s="3"/>
      <c r="F807" s="3"/>
      <c r="G807" s="3"/>
      <c r="H807" s="4"/>
      <c r="I807" s="5"/>
      <c r="J807" s="6"/>
      <c r="K807" s="7"/>
      <c r="L807" s="8"/>
      <c r="M807" s="9"/>
      <c r="N807" s="9"/>
      <c r="O807" s="9"/>
      <c r="P807" s="10"/>
      <c r="Q807" s="11"/>
      <c r="R807" s="11"/>
      <c r="S807" s="11"/>
      <c r="T807" s="11"/>
      <c r="U807" s="11"/>
      <c r="V807" s="11"/>
      <c r="W807" s="11"/>
      <c r="X807" s="11"/>
      <c r="Y807" s="11"/>
      <c r="Z807" s="12"/>
      <c r="AA807" s="12"/>
      <c r="AB807" s="12"/>
      <c r="AC807" s="12"/>
      <c r="AD807" s="12"/>
      <c r="AE807" s="12"/>
      <c r="AF807" s="12"/>
    </row>
    <row r="808" ht="46.5" customHeight="1">
      <c r="A808" s="1"/>
      <c r="B808" s="2"/>
      <c r="C808" s="2"/>
      <c r="D808" s="3"/>
      <c r="E808" s="3"/>
      <c r="F808" s="3"/>
      <c r="G808" s="3"/>
      <c r="H808" s="4"/>
      <c r="I808" s="5"/>
      <c r="J808" s="6"/>
      <c r="K808" s="7"/>
      <c r="L808" s="8"/>
      <c r="M808" s="9"/>
      <c r="N808" s="9"/>
      <c r="O808" s="9"/>
      <c r="P808" s="10"/>
      <c r="Q808" s="11"/>
      <c r="R808" s="11"/>
      <c r="S808" s="11"/>
      <c r="T808" s="11"/>
      <c r="U808" s="11"/>
      <c r="V808" s="11"/>
      <c r="W808" s="11"/>
      <c r="X808" s="11"/>
      <c r="Y808" s="11"/>
      <c r="Z808" s="12"/>
      <c r="AA808" s="12"/>
      <c r="AB808" s="12"/>
      <c r="AC808" s="12"/>
      <c r="AD808" s="12"/>
      <c r="AE808" s="12"/>
      <c r="AF808" s="12"/>
    </row>
    <row r="809" ht="46.5" customHeight="1">
      <c r="A809" s="1"/>
      <c r="B809" s="2"/>
      <c r="C809" s="2"/>
      <c r="D809" s="3"/>
      <c r="E809" s="3"/>
      <c r="F809" s="3"/>
      <c r="G809" s="3"/>
      <c r="H809" s="4"/>
      <c r="I809" s="5"/>
      <c r="J809" s="6"/>
      <c r="K809" s="7"/>
      <c r="L809" s="8"/>
      <c r="M809" s="9"/>
      <c r="N809" s="9"/>
      <c r="O809" s="9"/>
      <c r="P809" s="10"/>
      <c r="Q809" s="11"/>
      <c r="R809" s="11"/>
      <c r="S809" s="11"/>
      <c r="T809" s="11"/>
      <c r="U809" s="11"/>
      <c r="V809" s="11"/>
      <c r="W809" s="11"/>
      <c r="X809" s="11"/>
      <c r="Y809" s="11"/>
      <c r="Z809" s="12"/>
      <c r="AA809" s="12"/>
      <c r="AB809" s="12"/>
      <c r="AC809" s="12"/>
      <c r="AD809" s="12"/>
      <c r="AE809" s="12"/>
      <c r="AF809" s="12"/>
    </row>
    <row r="810" ht="46.5" customHeight="1">
      <c r="A810" s="1"/>
      <c r="B810" s="2"/>
      <c r="C810" s="2"/>
      <c r="D810" s="3"/>
      <c r="E810" s="3"/>
      <c r="F810" s="3"/>
      <c r="G810" s="3"/>
      <c r="H810" s="4"/>
      <c r="I810" s="5"/>
      <c r="J810" s="6"/>
      <c r="K810" s="7"/>
      <c r="L810" s="8"/>
      <c r="M810" s="9"/>
      <c r="N810" s="9"/>
      <c r="O810" s="9"/>
      <c r="P810" s="10"/>
      <c r="Q810" s="11"/>
      <c r="R810" s="11"/>
      <c r="S810" s="11"/>
      <c r="T810" s="11"/>
      <c r="U810" s="11"/>
      <c r="V810" s="11"/>
      <c r="W810" s="11"/>
      <c r="X810" s="11"/>
      <c r="Y810" s="11"/>
      <c r="Z810" s="12"/>
      <c r="AA810" s="12"/>
      <c r="AB810" s="12"/>
      <c r="AC810" s="12"/>
      <c r="AD810" s="12"/>
      <c r="AE810" s="12"/>
      <c r="AF810" s="12"/>
    </row>
    <row r="811" ht="46.5" customHeight="1">
      <c r="A811" s="1"/>
      <c r="B811" s="2"/>
      <c r="C811" s="2"/>
      <c r="D811" s="3"/>
      <c r="E811" s="3"/>
      <c r="F811" s="3"/>
      <c r="G811" s="3"/>
      <c r="H811" s="4"/>
      <c r="I811" s="5"/>
      <c r="J811" s="6"/>
      <c r="K811" s="7"/>
      <c r="L811" s="8"/>
      <c r="M811" s="9"/>
      <c r="N811" s="9"/>
      <c r="O811" s="9"/>
      <c r="P811" s="10"/>
      <c r="Q811" s="11"/>
      <c r="R811" s="11"/>
      <c r="S811" s="11"/>
      <c r="T811" s="11"/>
      <c r="U811" s="11"/>
      <c r="V811" s="11"/>
      <c r="W811" s="11"/>
      <c r="X811" s="11"/>
      <c r="Y811" s="11"/>
      <c r="Z811" s="12"/>
      <c r="AA811" s="12"/>
      <c r="AB811" s="12"/>
      <c r="AC811" s="12"/>
      <c r="AD811" s="12"/>
      <c r="AE811" s="12"/>
      <c r="AF811" s="12"/>
    </row>
    <row r="812" ht="46.5" customHeight="1">
      <c r="A812" s="1"/>
      <c r="B812" s="2"/>
      <c r="C812" s="2"/>
      <c r="D812" s="3"/>
      <c r="E812" s="3"/>
      <c r="F812" s="3"/>
      <c r="G812" s="3"/>
      <c r="H812" s="4"/>
      <c r="I812" s="5"/>
      <c r="J812" s="6"/>
      <c r="K812" s="7"/>
      <c r="L812" s="8"/>
      <c r="M812" s="9"/>
      <c r="N812" s="9"/>
      <c r="O812" s="9"/>
      <c r="P812" s="10"/>
      <c r="Q812" s="11"/>
      <c r="R812" s="11"/>
      <c r="S812" s="11"/>
      <c r="T812" s="11"/>
      <c r="U812" s="11"/>
      <c r="V812" s="11"/>
      <c r="W812" s="11"/>
      <c r="X812" s="11"/>
      <c r="Y812" s="11"/>
      <c r="Z812" s="12"/>
      <c r="AA812" s="12"/>
      <c r="AB812" s="12"/>
      <c r="AC812" s="12"/>
      <c r="AD812" s="12"/>
      <c r="AE812" s="12"/>
      <c r="AF812" s="12"/>
    </row>
    <row r="813" ht="46.5" customHeight="1">
      <c r="A813" s="1"/>
      <c r="B813" s="2"/>
      <c r="C813" s="2"/>
      <c r="D813" s="3"/>
      <c r="E813" s="3"/>
      <c r="F813" s="3"/>
      <c r="G813" s="3"/>
      <c r="H813" s="4"/>
      <c r="I813" s="5"/>
      <c r="J813" s="6"/>
      <c r="K813" s="7"/>
      <c r="L813" s="8"/>
      <c r="M813" s="9"/>
      <c r="N813" s="9"/>
      <c r="O813" s="9"/>
      <c r="P813" s="10"/>
      <c r="Q813" s="11"/>
      <c r="R813" s="11"/>
      <c r="S813" s="11"/>
      <c r="T813" s="11"/>
      <c r="U813" s="11"/>
      <c r="V813" s="11"/>
      <c r="W813" s="11"/>
      <c r="X813" s="11"/>
      <c r="Y813" s="11"/>
      <c r="Z813" s="12"/>
      <c r="AA813" s="12"/>
      <c r="AB813" s="12"/>
      <c r="AC813" s="12"/>
      <c r="AD813" s="12"/>
      <c r="AE813" s="12"/>
      <c r="AF813" s="12"/>
    </row>
    <row r="814" ht="46.5" customHeight="1">
      <c r="A814" s="1"/>
      <c r="B814" s="2"/>
      <c r="C814" s="2"/>
      <c r="D814" s="3"/>
      <c r="E814" s="3"/>
      <c r="F814" s="3"/>
      <c r="G814" s="3"/>
      <c r="H814" s="4"/>
      <c r="I814" s="5"/>
      <c r="J814" s="6"/>
      <c r="K814" s="7"/>
      <c r="L814" s="8"/>
      <c r="M814" s="9"/>
      <c r="N814" s="9"/>
      <c r="O814" s="9"/>
      <c r="P814" s="10"/>
      <c r="Q814" s="11"/>
      <c r="R814" s="11"/>
      <c r="S814" s="11"/>
      <c r="T814" s="11"/>
      <c r="U814" s="11"/>
      <c r="V814" s="11"/>
      <c r="W814" s="11"/>
      <c r="X814" s="11"/>
      <c r="Y814" s="11"/>
      <c r="Z814" s="12"/>
      <c r="AA814" s="12"/>
      <c r="AB814" s="12"/>
      <c r="AC814" s="12"/>
      <c r="AD814" s="12"/>
      <c r="AE814" s="12"/>
      <c r="AF814" s="12"/>
    </row>
    <row r="815" ht="46.5" customHeight="1">
      <c r="A815" s="1"/>
      <c r="B815" s="2"/>
      <c r="C815" s="2"/>
      <c r="D815" s="3"/>
      <c r="E815" s="3"/>
      <c r="F815" s="3"/>
      <c r="G815" s="3"/>
      <c r="H815" s="4"/>
      <c r="I815" s="5"/>
      <c r="J815" s="6"/>
      <c r="K815" s="7"/>
      <c r="L815" s="8"/>
      <c r="M815" s="9"/>
      <c r="N815" s="9"/>
      <c r="O815" s="9"/>
      <c r="P815" s="10"/>
      <c r="Q815" s="11"/>
      <c r="R815" s="11"/>
      <c r="S815" s="11"/>
      <c r="T815" s="11"/>
      <c r="U815" s="11"/>
      <c r="V815" s="11"/>
      <c r="W815" s="11"/>
      <c r="X815" s="11"/>
      <c r="Y815" s="11"/>
      <c r="Z815" s="12"/>
      <c r="AA815" s="12"/>
      <c r="AB815" s="12"/>
      <c r="AC815" s="12"/>
      <c r="AD815" s="12"/>
      <c r="AE815" s="12"/>
      <c r="AF815" s="12"/>
    </row>
    <row r="816" ht="46.5" customHeight="1">
      <c r="A816" s="1"/>
      <c r="B816" s="2"/>
      <c r="C816" s="2"/>
      <c r="D816" s="3"/>
      <c r="E816" s="3"/>
      <c r="F816" s="3"/>
      <c r="G816" s="3"/>
      <c r="H816" s="4"/>
      <c r="I816" s="5"/>
      <c r="J816" s="6"/>
      <c r="K816" s="7"/>
      <c r="L816" s="8"/>
      <c r="M816" s="9"/>
      <c r="N816" s="9"/>
      <c r="O816" s="9"/>
      <c r="P816" s="10"/>
      <c r="Q816" s="11"/>
      <c r="R816" s="11"/>
      <c r="S816" s="11"/>
      <c r="T816" s="11"/>
      <c r="U816" s="11"/>
      <c r="V816" s="11"/>
      <c r="W816" s="11"/>
      <c r="X816" s="11"/>
      <c r="Y816" s="11"/>
      <c r="Z816" s="12"/>
      <c r="AA816" s="12"/>
      <c r="AB816" s="12"/>
      <c r="AC816" s="12"/>
      <c r="AD816" s="12"/>
      <c r="AE816" s="12"/>
      <c r="AF816" s="12"/>
    </row>
    <row r="817" ht="46.5" customHeight="1">
      <c r="A817" s="1"/>
      <c r="B817" s="2"/>
      <c r="C817" s="2"/>
      <c r="D817" s="3"/>
      <c r="E817" s="3"/>
      <c r="F817" s="3"/>
      <c r="G817" s="3"/>
      <c r="H817" s="4"/>
      <c r="I817" s="5"/>
      <c r="J817" s="6"/>
      <c r="K817" s="7"/>
      <c r="L817" s="8"/>
      <c r="M817" s="9"/>
      <c r="N817" s="9"/>
      <c r="O817" s="9"/>
      <c r="P817" s="10"/>
      <c r="Q817" s="11"/>
      <c r="R817" s="11"/>
      <c r="S817" s="11"/>
      <c r="T817" s="11"/>
      <c r="U817" s="11"/>
      <c r="V817" s="11"/>
      <c r="W817" s="11"/>
      <c r="X817" s="11"/>
      <c r="Y817" s="11"/>
      <c r="Z817" s="12"/>
      <c r="AA817" s="12"/>
      <c r="AB817" s="12"/>
      <c r="AC817" s="12"/>
      <c r="AD817" s="12"/>
      <c r="AE817" s="12"/>
      <c r="AF817" s="12"/>
    </row>
    <row r="818" ht="46.5" customHeight="1">
      <c r="A818" s="1"/>
      <c r="B818" s="2"/>
      <c r="C818" s="2"/>
      <c r="D818" s="3"/>
      <c r="E818" s="3"/>
      <c r="F818" s="3"/>
      <c r="G818" s="3"/>
      <c r="H818" s="4"/>
      <c r="I818" s="5"/>
      <c r="J818" s="6"/>
      <c r="K818" s="7"/>
      <c r="L818" s="8"/>
      <c r="M818" s="9"/>
      <c r="N818" s="9"/>
      <c r="O818" s="9"/>
      <c r="P818" s="10"/>
      <c r="Q818" s="11"/>
      <c r="R818" s="11"/>
      <c r="S818" s="11"/>
      <c r="T818" s="11"/>
      <c r="U818" s="11"/>
      <c r="V818" s="11"/>
      <c r="W818" s="11"/>
      <c r="X818" s="11"/>
      <c r="Y818" s="11"/>
      <c r="Z818" s="12"/>
      <c r="AA818" s="12"/>
      <c r="AB818" s="12"/>
      <c r="AC818" s="12"/>
      <c r="AD818" s="12"/>
      <c r="AE818" s="12"/>
      <c r="AF818" s="12"/>
    </row>
    <row r="819" ht="46.5" customHeight="1">
      <c r="A819" s="1"/>
      <c r="B819" s="2"/>
      <c r="C819" s="2"/>
      <c r="D819" s="3"/>
      <c r="E819" s="3"/>
      <c r="F819" s="3"/>
      <c r="G819" s="3"/>
      <c r="H819" s="4"/>
      <c r="I819" s="5"/>
      <c r="J819" s="6"/>
      <c r="K819" s="7"/>
      <c r="L819" s="8"/>
      <c r="M819" s="9"/>
      <c r="N819" s="9"/>
      <c r="O819" s="9"/>
      <c r="P819" s="10"/>
      <c r="Q819" s="11"/>
      <c r="R819" s="11"/>
      <c r="S819" s="11"/>
      <c r="T819" s="11"/>
      <c r="U819" s="11"/>
      <c r="V819" s="11"/>
      <c r="W819" s="11"/>
      <c r="X819" s="11"/>
      <c r="Y819" s="11"/>
      <c r="Z819" s="12"/>
      <c r="AA819" s="12"/>
      <c r="AB819" s="12"/>
      <c r="AC819" s="12"/>
      <c r="AD819" s="12"/>
      <c r="AE819" s="12"/>
      <c r="AF819" s="12"/>
    </row>
    <row r="820" ht="46.5" customHeight="1">
      <c r="A820" s="1"/>
      <c r="B820" s="2"/>
      <c r="C820" s="2"/>
      <c r="D820" s="3"/>
      <c r="E820" s="3"/>
      <c r="F820" s="3"/>
      <c r="G820" s="3"/>
      <c r="H820" s="4"/>
      <c r="I820" s="5"/>
      <c r="J820" s="6"/>
      <c r="K820" s="7"/>
      <c r="L820" s="8"/>
      <c r="M820" s="9"/>
      <c r="N820" s="9"/>
      <c r="O820" s="9"/>
      <c r="P820" s="10"/>
      <c r="Q820" s="11"/>
      <c r="R820" s="11"/>
      <c r="S820" s="11"/>
      <c r="T820" s="11"/>
      <c r="U820" s="11"/>
      <c r="V820" s="11"/>
      <c r="W820" s="11"/>
      <c r="X820" s="11"/>
      <c r="Y820" s="11"/>
      <c r="Z820" s="12"/>
      <c r="AA820" s="12"/>
      <c r="AB820" s="12"/>
      <c r="AC820" s="12"/>
      <c r="AD820" s="12"/>
      <c r="AE820" s="12"/>
      <c r="AF820" s="12"/>
    </row>
    <row r="821" ht="46.5" customHeight="1">
      <c r="A821" s="1"/>
      <c r="B821" s="2"/>
      <c r="C821" s="2"/>
      <c r="D821" s="3"/>
      <c r="E821" s="3"/>
      <c r="F821" s="3"/>
      <c r="G821" s="3"/>
      <c r="H821" s="4"/>
      <c r="I821" s="5"/>
      <c r="J821" s="6"/>
      <c r="K821" s="7"/>
      <c r="L821" s="8"/>
      <c r="M821" s="9"/>
      <c r="N821" s="9"/>
      <c r="O821" s="9"/>
      <c r="P821" s="10"/>
      <c r="Q821" s="11"/>
      <c r="R821" s="11"/>
      <c r="S821" s="11"/>
      <c r="T821" s="11"/>
      <c r="U821" s="11"/>
      <c r="V821" s="11"/>
      <c r="W821" s="11"/>
      <c r="X821" s="11"/>
      <c r="Y821" s="11"/>
      <c r="Z821" s="12"/>
      <c r="AA821" s="12"/>
      <c r="AB821" s="12"/>
      <c r="AC821" s="12"/>
      <c r="AD821" s="12"/>
      <c r="AE821" s="12"/>
      <c r="AF821" s="12"/>
    </row>
    <row r="822" ht="46.5" customHeight="1">
      <c r="A822" s="1"/>
      <c r="B822" s="2"/>
      <c r="C822" s="2"/>
      <c r="D822" s="3"/>
      <c r="E822" s="3"/>
      <c r="F822" s="3"/>
      <c r="G822" s="3"/>
      <c r="H822" s="4"/>
      <c r="I822" s="5"/>
      <c r="J822" s="6"/>
      <c r="K822" s="7"/>
      <c r="L822" s="8"/>
      <c r="M822" s="9"/>
      <c r="N822" s="9"/>
      <c r="O822" s="9"/>
      <c r="P822" s="10"/>
      <c r="Q822" s="11"/>
      <c r="R822" s="11"/>
      <c r="S822" s="11"/>
      <c r="T822" s="11"/>
      <c r="U822" s="11"/>
      <c r="V822" s="11"/>
      <c r="W822" s="11"/>
      <c r="X822" s="11"/>
      <c r="Y822" s="11"/>
      <c r="Z822" s="12"/>
      <c r="AA822" s="12"/>
      <c r="AB822" s="12"/>
      <c r="AC822" s="12"/>
      <c r="AD822" s="12"/>
      <c r="AE822" s="12"/>
      <c r="AF822" s="12"/>
    </row>
    <row r="823" ht="46.5" customHeight="1">
      <c r="A823" s="1"/>
      <c r="B823" s="2"/>
      <c r="C823" s="2"/>
      <c r="D823" s="3"/>
      <c r="E823" s="3"/>
      <c r="F823" s="3"/>
      <c r="G823" s="3"/>
      <c r="H823" s="4"/>
      <c r="I823" s="5"/>
      <c r="J823" s="6"/>
      <c r="K823" s="7"/>
      <c r="L823" s="8"/>
      <c r="M823" s="9"/>
      <c r="N823" s="9"/>
      <c r="O823" s="9"/>
      <c r="P823" s="10"/>
      <c r="Q823" s="11"/>
      <c r="R823" s="11"/>
      <c r="S823" s="11"/>
      <c r="T823" s="11"/>
      <c r="U823" s="11"/>
      <c r="V823" s="11"/>
      <c r="W823" s="11"/>
      <c r="X823" s="11"/>
      <c r="Y823" s="11"/>
      <c r="Z823" s="12"/>
      <c r="AA823" s="12"/>
      <c r="AB823" s="12"/>
      <c r="AC823" s="12"/>
      <c r="AD823" s="12"/>
      <c r="AE823" s="12"/>
      <c r="AF823" s="12"/>
    </row>
    <row r="824" ht="46.5" customHeight="1">
      <c r="A824" s="1"/>
      <c r="B824" s="2"/>
      <c r="C824" s="2"/>
      <c r="D824" s="3"/>
      <c r="E824" s="3"/>
      <c r="F824" s="3"/>
      <c r="G824" s="3"/>
      <c r="H824" s="4"/>
      <c r="I824" s="5"/>
      <c r="J824" s="6"/>
      <c r="K824" s="7"/>
      <c r="L824" s="8"/>
      <c r="M824" s="9"/>
      <c r="N824" s="9"/>
      <c r="O824" s="9"/>
      <c r="P824" s="10"/>
      <c r="Q824" s="11"/>
      <c r="R824" s="11"/>
      <c r="S824" s="11"/>
      <c r="T824" s="11"/>
      <c r="U824" s="11"/>
      <c r="V824" s="11"/>
      <c r="W824" s="11"/>
      <c r="X824" s="11"/>
      <c r="Y824" s="11"/>
      <c r="Z824" s="12"/>
      <c r="AA824" s="12"/>
      <c r="AB824" s="12"/>
      <c r="AC824" s="12"/>
      <c r="AD824" s="12"/>
      <c r="AE824" s="12"/>
      <c r="AF824" s="12"/>
    </row>
    <row r="825" ht="46.5" customHeight="1">
      <c r="A825" s="1"/>
      <c r="B825" s="2"/>
      <c r="C825" s="2"/>
      <c r="D825" s="3"/>
      <c r="E825" s="3"/>
      <c r="F825" s="3"/>
      <c r="G825" s="3"/>
      <c r="H825" s="4"/>
      <c r="I825" s="5"/>
      <c r="J825" s="6"/>
      <c r="K825" s="7"/>
      <c r="L825" s="8"/>
      <c r="M825" s="9"/>
      <c r="N825" s="9"/>
      <c r="O825" s="9"/>
      <c r="P825" s="10"/>
      <c r="Q825" s="11"/>
      <c r="R825" s="11"/>
      <c r="S825" s="11"/>
      <c r="T825" s="11"/>
      <c r="U825" s="11"/>
      <c r="V825" s="11"/>
      <c r="W825" s="11"/>
      <c r="X825" s="11"/>
      <c r="Y825" s="11"/>
      <c r="Z825" s="12"/>
      <c r="AA825" s="12"/>
      <c r="AB825" s="12"/>
      <c r="AC825" s="12"/>
      <c r="AD825" s="12"/>
      <c r="AE825" s="12"/>
      <c r="AF825" s="12"/>
    </row>
    <row r="826" ht="46.5" customHeight="1">
      <c r="A826" s="1"/>
      <c r="B826" s="2"/>
      <c r="C826" s="2"/>
      <c r="D826" s="3"/>
      <c r="E826" s="3"/>
      <c r="F826" s="3"/>
      <c r="G826" s="3"/>
      <c r="H826" s="4"/>
      <c r="I826" s="5"/>
      <c r="J826" s="6"/>
      <c r="K826" s="7"/>
      <c r="L826" s="8"/>
      <c r="M826" s="9"/>
      <c r="N826" s="9"/>
      <c r="O826" s="9"/>
      <c r="P826" s="10"/>
      <c r="Q826" s="11"/>
      <c r="R826" s="11"/>
      <c r="S826" s="11"/>
      <c r="T826" s="11"/>
      <c r="U826" s="11"/>
      <c r="V826" s="11"/>
      <c r="W826" s="11"/>
      <c r="X826" s="11"/>
      <c r="Y826" s="11"/>
      <c r="Z826" s="12"/>
      <c r="AA826" s="12"/>
      <c r="AB826" s="12"/>
      <c r="AC826" s="12"/>
      <c r="AD826" s="12"/>
      <c r="AE826" s="12"/>
      <c r="AF826" s="12"/>
    </row>
    <row r="827" ht="46.5" customHeight="1">
      <c r="A827" s="1"/>
      <c r="B827" s="2"/>
      <c r="C827" s="2"/>
      <c r="D827" s="3"/>
      <c r="E827" s="3"/>
      <c r="F827" s="3"/>
      <c r="G827" s="3"/>
      <c r="H827" s="4"/>
      <c r="I827" s="5"/>
      <c r="J827" s="6"/>
      <c r="K827" s="7"/>
      <c r="L827" s="8"/>
      <c r="M827" s="9"/>
      <c r="N827" s="9"/>
      <c r="O827" s="9"/>
      <c r="P827" s="10"/>
      <c r="Q827" s="11"/>
      <c r="R827" s="11"/>
      <c r="S827" s="11"/>
      <c r="T827" s="11"/>
      <c r="U827" s="11"/>
      <c r="V827" s="11"/>
      <c r="W827" s="11"/>
      <c r="X827" s="11"/>
      <c r="Y827" s="11"/>
      <c r="Z827" s="12"/>
      <c r="AA827" s="12"/>
      <c r="AB827" s="12"/>
      <c r="AC827" s="12"/>
      <c r="AD827" s="12"/>
      <c r="AE827" s="12"/>
      <c r="AF827" s="12"/>
    </row>
    <row r="828" ht="46.5" customHeight="1">
      <c r="A828" s="1"/>
      <c r="B828" s="2"/>
      <c r="C828" s="2"/>
      <c r="D828" s="3"/>
      <c r="E828" s="3"/>
      <c r="F828" s="3"/>
      <c r="G828" s="3"/>
      <c r="H828" s="4"/>
      <c r="I828" s="5"/>
      <c r="J828" s="6"/>
      <c r="K828" s="7"/>
      <c r="L828" s="8"/>
      <c r="M828" s="9"/>
      <c r="N828" s="9"/>
      <c r="O828" s="9"/>
      <c r="P828" s="10"/>
      <c r="Q828" s="11"/>
      <c r="R828" s="11"/>
      <c r="S828" s="11"/>
      <c r="T828" s="11"/>
      <c r="U828" s="11"/>
      <c r="V828" s="11"/>
      <c r="W828" s="11"/>
      <c r="X828" s="11"/>
      <c r="Y828" s="11"/>
      <c r="Z828" s="12"/>
      <c r="AA828" s="12"/>
      <c r="AB828" s="12"/>
      <c r="AC828" s="12"/>
      <c r="AD828" s="12"/>
      <c r="AE828" s="12"/>
      <c r="AF828" s="12"/>
    </row>
    <row r="829" ht="46.5" customHeight="1">
      <c r="A829" s="1"/>
      <c r="B829" s="2"/>
      <c r="C829" s="2"/>
      <c r="D829" s="3"/>
      <c r="E829" s="3"/>
      <c r="F829" s="3"/>
      <c r="G829" s="3"/>
      <c r="H829" s="4"/>
      <c r="I829" s="5"/>
      <c r="J829" s="6"/>
      <c r="K829" s="7"/>
      <c r="L829" s="8"/>
      <c r="M829" s="9"/>
      <c r="N829" s="9"/>
      <c r="O829" s="9"/>
      <c r="P829" s="10"/>
      <c r="Q829" s="11"/>
      <c r="R829" s="11"/>
      <c r="S829" s="11"/>
      <c r="T829" s="11"/>
      <c r="U829" s="11"/>
      <c r="V829" s="11"/>
      <c r="W829" s="11"/>
      <c r="X829" s="11"/>
      <c r="Y829" s="11"/>
      <c r="Z829" s="12"/>
      <c r="AA829" s="12"/>
      <c r="AB829" s="12"/>
      <c r="AC829" s="12"/>
      <c r="AD829" s="12"/>
      <c r="AE829" s="12"/>
      <c r="AF829" s="12"/>
    </row>
    <row r="830" ht="46.5" customHeight="1">
      <c r="A830" s="1"/>
      <c r="B830" s="2"/>
      <c r="C830" s="2"/>
      <c r="D830" s="3"/>
      <c r="E830" s="3"/>
      <c r="F830" s="3"/>
      <c r="G830" s="3"/>
      <c r="H830" s="4"/>
      <c r="I830" s="5"/>
      <c r="J830" s="6"/>
      <c r="K830" s="7"/>
      <c r="L830" s="8"/>
      <c r="M830" s="9"/>
      <c r="N830" s="9"/>
      <c r="O830" s="9"/>
      <c r="P830" s="10"/>
      <c r="Q830" s="11"/>
      <c r="R830" s="11"/>
      <c r="S830" s="11"/>
      <c r="T830" s="11"/>
      <c r="U830" s="11"/>
      <c r="V830" s="11"/>
      <c r="W830" s="11"/>
      <c r="X830" s="11"/>
      <c r="Y830" s="11"/>
      <c r="Z830" s="12"/>
      <c r="AA830" s="12"/>
      <c r="AB830" s="12"/>
      <c r="AC830" s="12"/>
      <c r="AD830" s="12"/>
      <c r="AE830" s="12"/>
      <c r="AF830" s="12"/>
    </row>
    <row r="831" ht="46.5" customHeight="1">
      <c r="A831" s="1"/>
      <c r="B831" s="2"/>
      <c r="C831" s="2"/>
      <c r="D831" s="3"/>
      <c r="E831" s="3"/>
      <c r="F831" s="3"/>
      <c r="G831" s="3"/>
      <c r="H831" s="4"/>
      <c r="I831" s="5"/>
      <c r="J831" s="6"/>
      <c r="K831" s="7"/>
      <c r="L831" s="8"/>
      <c r="M831" s="9"/>
      <c r="N831" s="9"/>
      <c r="O831" s="9"/>
      <c r="P831" s="10"/>
      <c r="Q831" s="11"/>
      <c r="R831" s="11"/>
      <c r="S831" s="11"/>
      <c r="T831" s="11"/>
      <c r="U831" s="11"/>
      <c r="V831" s="11"/>
      <c r="W831" s="11"/>
      <c r="X831" s="11"/>
      <c r="Y831" s="11"/>
      <c r="Z831" s="12"/>
      <c r="AA831" s="12"/>
      <c r="AB831" s="12"/>
      <c r="AC831" s="12"/>
      <c r="AD831" s="12"/>
      <c r="AE831" s="12"/>
      <c r="AF831" s="12"/>
    </row>
    <row r="832" ht="46.5" customHeight="1">
      <c r="A832" s="1"/>
      <c r="B832" s="2"/>
      <c r="C832" s="2"/>
      <c r="D832" s="3"/>
      <c r="E832" s="3"/>
      <c r="F832" s="3"/>
      <c r="G832" s="3"/>
      <c r="H832" s="4"/>
      <c r="I832" s="5"/>
      <c r="J832" s="6"/>
      <c r="K832" s="7"/>
      <c r="L832" s="8"/>
      <c r="M832" s="9"/>
      <c r="N832" s="9"/>
      <c r="O832" s="9"/>
      <c r="P832" s="10"/>
      <c r="Q832" s="11"/>
      <c r="R832" s="11"/>
      <c r="S832" s="11"/>
      <c r="T832" s="11"/>
      <c r="U832" s="11"/>
      <c r="V832" s="11"/>
      <c r="W832" s="11"/>
      <c r="X832" s="11"/>
      <c r="Y832" s="11"/>
      <c r="Z832" s="12"/>
      <c r="AA832" s="12"/>
      <c r="AB832" s="12"/>
      <c r="AC832" s="12"/>
      <c r="AD832" s="12"/>
      <c r="AE832" s="12"/>
      <c r="AF832" s="12"/>
    </row>
    <row r="833" ht="46.5" customHeight="1">
      <c r="A833" s="1"/>
      <c r="B833" s="2"/>
      <c r="C833" s="2"/>
      <c r="D833" s="3"/>
      <c r="E833" s="3"/>
      <c r="F833" s="3"/>
      <c r="G833" s="3"/>
      <c r="H833" s="4"/>
      <c r="I833" s="5"/>
      <c r="J833" s="6"/>
      <c r="K833" s="7"/>
      <c r="L833" s="8"/>
      <c r="M833" s="9"/>
      <c r="N833" s="9"/>
      <c r="O833" s="9"/>
      <c r="P833" s="10"/>
      <c r="Q833" s="11"/>
      <c r="R833" s="11"/>
      <c r="S833" s="11"/>
      <c r="T833" s="11"/>
      <c r="U833" s="11"/>
      <c r="V833" s="11"/>
      <c r="W833" s="11"/>
      <c r="X833" s="11"/>
      <c r="Y833" s="11"/>
      <c r="Z833" s="12"/>
      <c r="AA833" s="12"/>
      <c r="AB833" s="12"/>
      <c r="AC833" s="12"/>
      <c r="AD833" s="12"/>
      <c r="AE833" s="12"/>
      <c r="AF833" s="12"/>
    </row>
    <row r="834" ht="46.5" customHeight="1">
      <c r="A834" s="1"/>
      <c r="B834" s="2"/>
      <c r="C834" s="2"/>
      <c r="D834" s="3"/>
      <c r="E834" s="3"/>
      <c r="F834" s="3"/>
      <c r="G834" s="3"/>
      <c r="H834" s="4"/>
      <c r="I834" s="5"/>
      <c r="J834" s="6"/>
      <c r="K834" s="7"/>
      <c r="L834" s="8"/>
      <c r="M834" s="9"/>
      <c r="N834" s="9"/>
      <c r="O834" s="9"/>
      <c r="P834" s="10"/>
      <c r="Q834" s="11"/>
      <c r="R834" s="11"/>
      <c r="S834" s="11"/>
      <c r="T834" s="11"/>
      <c r="U834" s="11"/>
      <c r="V834" s="11"/>
      <c r="W834" s="11"/>
      <c r="X834" s="11"/>
      <c r="Y834" s="11"/>
      <c r="Z834" s="12"/>
      <c r="AA834" s="12"/>
      <c r="AB834" s="12"/>
      <c r="AC834" s="12"/>
      <c r="AD834" s="12"/>
      <c r="AE834" s="12"/>
      <c r="AF834" s="12"/>
    </row>
    <row r="835" ht="46.5" customHeight="1">
      <c r="A835" s="1"/>
      <c r="B835" s="2"/>
      <c r="C835" s="2"/>
      <c r="D835" s="3"/>
      <c r="E835" s="3"/>
      <c r="F835" s="3"/>
      <c r="G835" s="3"/>
      <c r="H835" s="4"/>
      <c r="I835" s="5"/>
      <c r="J835" s="6"/>
      <c r="K835" s="7"/>
      <c r="L835" s="8"/>
      <c r="M835" s="9"/>
      <c r="N835" s="9"/>
      <c r="O835" s="9"/>
      <c r="P835" s="10"/>
      <c r="Q835" s="11"/>
      <c r="R835" s="11"/>
      <c r="S835" s="11"/>
      <c r="T835" s="11"/>
      <c r="U835" s="11"/>
      <c r="V835" s="11"/>
      <c r="W835" s="11"/>
      <c r="X835" s="11"/>
      <c r="Y835" s="11"/>
      <c r="Z835" s="12"/>
      <c r="AA835" s="12"/>
      <c r="AB835" s="12"/>
      <c r="AC835" s="12"/>
      <c r="AD835" s="12"/>
      <c r="AE835" s="12"/>
      <c r="AF835" s="12"/>
    </row>
    <row r="836" ht="46.5" customHeight="1">
      <c r="A836" s="1"/>
      <c r="B836" s="2"/>
      <c r="C836" s="2"/>
      <c r="D836" s="3"/>
      <c r="E836" s="3"/>
      <c r="F836" s="3"/>
      <c r="G836" s="3"/>
      <c r="H836" s="4"/>
      <c r="I836" s="5"/>
      <c r="J836" s="6"/>
      <c r="K836" s="7"/>
      <c r="L836" s="8"/>
      <c r="M836" s="9"/>
      <c r="N836" s="9"/>
      <c r="O836" s="9"/>
      <c r="P836" s="10"/>
      <c r="Q836" s="11"/>
      <c r="R836" s="11"/>
      <c r="S836" s="11"/>
      <c r="T836" s="11"/>
      <c r="U836" s="11"/>
      <c r="V836" s="11"/>
      <c r="W836" s="11"/>
      <c r="X836" s="11"/>
      <c r="Y836" s="11"/>
      <c r="Z836" s="12"/>
      <c r="AA836" s="12"/>
      <c r="AB836" s="12"/>
      <c r="AC836" s="12"/>
      <c r="AD836" s="12"/>
      <c r="AE836" s="12"/>
      <c r="AF836" s="12"/>
    </row>
    <row r="837" ht="46.5" customHeight="1">
      <c r="A837" s="1"/>
      <c r="B837" s="2"/>
      <c r="C837" s="2"/>
      <c r="D837" s="3"/>
      <c r="E837" s="3"/>
      <c r="F837" s="3"/>
      <c r="G837" s="3"/>
      <c r="H837" s="4"/>
      <c r="I837" s="5"/>
      <c r="J837" s="6"/>
      <c r="K837" s="7"/>
      <c r="L837" s="8"/>
      <c r="M837" s="9"/>
      <c r="N837" s="9"/>
      <c r="O837" s="9"/>
      <c r="P837" s="10"/>
      <c r="Q837" s="11"/>
      <c r="R837" s="11"/>
      <c r="S837" s="11"/>
      <c r="T837" s="11"/>
      <c r="U837" s="11"/>
      <c r="V837" s="11"/>
      <c r="W837" s="11"/>
      <c r="X837" s="11"/>
      <c r="Y837" s="11"/>
      <c r="Z837" s="12"/>
      <c r="AA837" s="12"/>
      <c r="AB837" s="12"/>
      <c r="AC837" s="12"/>
      <c r="AD837" s="12"/>
      <c r="AE837" s="12"/>
      <c r="AF837" s="12"/>
    </row>
    <row r="838" ht="46.5" customHeight="1">
      <c r="A838" s="1"/>
      <c r="B838" s="2"/>
      <c r="C838" s="2"/>
      <c r="D838" s="3"/>
      <c r="E838" s="3"/>
      <c r="F838" s="3"/>
      <c r="G838" s="3"/>
      <c r="H838" s="4"/>
      <c r="I838" s="5"/>
      <c r="J838" s="6"/>
      <c r="K838" s="7"/>
      <c r="L838" s="8"/>
      <c r="M838" s="9"/>
      <c r="N838" s="9"/>
      <c r="O838" s="9"/>
      <c r="P838" s="10"/>
      <c r="Q838" s="11"/>
      <c r="R838" s="11"/>
      <c r="S838" s="11"/>
      <c r="T838" s="11"/>
      <c r="U838" s="11"/>
      <c r="V838" s="11"/>
      <c r="W838" s="11"/>
      <c r="X838" s="11"/>
      <c r="Y838" s="11"/>
      <c r="Z838" s="12"/>
      <c r="AA838" s="12"/>
      <c r="AB838" s="12"/>
      <c r="AC838" s="12"/>
      <c r="AD838" s="12"/>
      <c r="AE838" s="12"/>
      <c r="AF838" s="12"/>
    </row>
    <row r="839" ht="46.5" customHeight="1">
      <c r="A839" s="1"/>
      <c r="B839" s="2"/>
      <c r="C839" s="2"/>
      <c r="D839" s="3"/>
      <c r="E839" s="3"/>
      <c r="F839" s="3"/>
      <c r="G839" s="3"/>
      <c r="H839" s="4"/>
      <c r="I839" s="5"/>
      <c r="J839" s="6"/>
      <c r="K839" s="7"/>
      <c r="L839" s="8"/>
      <c r="M839" s="9"/>
      <c r="N839" s="9"/>
      <c r="O839" s="9"/>
      <c r="P839" s="10"/>
      <c r="Q839" s="11"/>
      <c r="R839" s="11"/>
      <c r="S839" s="11"/>
      <c r="T839" s="11"/>
      <c r="U839" s="11"/>
      <c r="V839" s="11"/>
      <c r="W839" s="11"/>
      <c r="X839" s="11"/>
      <c r="Y839" s="11"/>
      <c r="Z839" s="12"/>
      <c r="AA839" s="12"/>
      <c r="AB839" s="12"/>
      <c r="AC839" s="12"/>
      <c r="AD839" s="12"/>
      <c r="AE839" s="12"/>
      <c r="AF839" s="12"/>
    </row>
    <row r="840" ht="46.5" customHeight="1">
      <c r="A840" s="1"/>
      <c r="B840" s="2"/>
      <c r="C840" s="2"/>
      <c r="D840" s="3"/>
      <c r="E840" s="3"/>
      <c r="F840" s="3"/>
      <c r="G840" s="3"/>
      <c r="H840" s="4"/>
      <c r="I840" s="5"/>
      <c r="J840" s="6"/>
      <c r="K840" s="7"/>
      <c r="L840" s="8"/>
      <c r="M840" s="9"/>
      <c r="N840" s="9"/>
      <c r="O840" s="9"/>
      <c r="P840" s="10"/>
      <c r="Q840" s="11"/>
      <c r="R840" s="11"/>
      <c r="S840" s="11"/>
      <c r="T840" s="11"/>
      <c r="U840" s="11"/>
      <c r="V840" s="11"/>
      <c r="W840" s="11"/>
      <c r="X840" s="11"/>
      <c r="Y840" s="11"/>
      <c r="Z840" s="12"/>
      <c r="AA840" s="12"/>
      <c r="AB840" s="12"/>
      <c r="AC840" s="12"/>
      <c r="AD840" s="12"/>
      <c r="AE840" s="12"/>
      <c r="AF840" s="12"/>
    </row>
    <row r="841" ht="46.5" customHeight="1">
      <c r="A841" s="1"/>
      <c r="B841" s="2"/>
      <c r="C841" s="2"/>
      <c r="D841" s="3"/>
      <c r="E841" s="3"/>
      <c r="F841" s="3"/>
      <c r="G841" s="3"/>
      <c r="H841" s="4"/>
      <c r="I841" s="5"/>
      <c r="J841" s="6"/>
      <c r="K841" s="7"/>
      <c r="L841" s="8"/>
      <c r="M841" s="9"/>
      <c r="N841" s="9"/>
      <c r="O841" s="9"/>
      <c r="P841" s="10"/>
      <c r="Q841" s="11"/>
      <c r="R841" s="11"/>
      <c r="S841" s="11"/>
      <c r="T841" s="11"/>
      <c r="U841" s="11"/>
      <c r="V841" s="11"/>
      <c r="W841" s="11"/>
      <c r="X841" s="11"/>
      <c r="Y841" s="11"/>
      <c r="Z841" s="12"/>
      <c r="AA841" s="12"/>
      <c r="AB841" s="12"/>
      <c r="AC841" s="12"/>
      <c r="AD841" s="12"/>
      <c r="AE841" s="12"/>
      <c r="AF841" s="12"/>
    </row>
    <row r="842" ht="46.5" customHeight="1">
      <c r="A842" s="1"/>
      <c r="B842" s="2"/>
      <c r="C842" s="2"/>
      <c r="D842" s="3"/>
      <c r="E842" s="3"/>
      <c r="F842" s="3"/>
      <c r="G842" s="3"/>
      <c r="H842" s="4"/>
      <c r="I842" s="5"/>
      <c r="J842" s="6"/>
      <c r="K842" s="7"/>
      <c r="L842" s="8"/>
      <c r="M842" s="9"/>
      <c r="N842" s="9"/>
      <c r="O842" s="9"/>
      <c r="P842" s="10"/>
      <c r="Q842" s="11"/>
      <c r="R842" s="11"/>
      <c r="S842" s="11"/>
      <c r="T842" s="11"/>
      <c r="U842" s="11"/>
      <c r="V842" s="11"/>
      <c r="W842" s="11"/>
      <c r="X842" s="11"/>
      <c r="Y842" s="11"/>
      <c r="Z842" s="12"/>
      <c r="AA842" s="12"/>
      <c r="AB842" s="12"/>
      <c r="AC842" s="12"/>
      <c r="AD842" s="12"/>
      <c r="AE842" s="12"/>
      <c r="AF842" s="12"/>
    </row>
    <row r="843" ht="46.5" customHeight="1">
      <c r="A843" s="1"/>
      <c r="B843" s="2"/>
      <c r="C843" s="2"/>
      <c r="D843" s="3"/>
      <c r="E843" s="3"/>
      <c r="F843" s="3"/>
      <c r="G843" s="3"/>
      <c r="H843" s="4"/>
      <c r="I843" s="5"/>
      <c r="J843" s="6"/>
      <c r="K843" s="7"/>
      <c r="L843" s="8"/>
      <c r="M843" s="9"/>
      <c r="N843" s="9"/>
      <c r="O843" s="9"/>
      <c r="P843" s="10"/>
      <c r="Q843" s="11"/>
      <c r="R843" s="11"/>
      <c r="S843" s="11"/>
      <c r="T843" s="11"/>
      <c r="U843" s="11"/>
      <c r="V843" s="11"/>
      <c r="W843" s="11"/>
      <c r="X843" s="11"/>
      <c r="Y843" s="11"/>
      <c r="Z843" s="12"/>
      <c r="AA843" s="12"/>
      <c r="AB843" s="12"/>
      <c r="AC843" s="12"/>
      <c r="AD843" s="12"/>
      <c r="AE843" s="12"/>
      <c r="AF843" s="12"/>
    </row>
    <row r="844" ht="46.5" customHeight="1">
      <c r="A844" s="1"/>
      <c r="B844" s="2"/>
      <c r="C844" s="2"/>
      <c r="D844" s="3"/>
      <c r="E844" s="3"/>
      <c r="F844" s="3"/>
      <c r="G844" s="3"/>
      <c r="H844" s="4"/>
      <c r="I844" s="5"/>
      <c r="J844" s="6"/>
      <c r="K844" s="7"/>
      <c r="L844" s="8"/>
      <c r="M844" s="9"/>
      <c r="N844" s="9"/>
      <c r="O844" s="9"/>
      <c r="P844" s="10"/>
      <c r="Q844" s="11"/>
      <c r="R844" s="11"/>
      <c r="S844" s="11"/>
      <c r="T844" s="11"/>
      <c r="U844" s="11"/>
      <c r="V844" s="11"/>
      <c r="W844" s="11"/>
      <c r="X844" s="11"/>
      <c r="Y844" s="11"/>
      <c r="Z844" s="12"/>
      <c r="AA844" s="12"/>
      <c r="AB844" s="12"/>
      <c r="AC844" s="12"/>
      <c r="AD844" s="12"/>
      <c r="AE844" s="12"/>
      <c r="AF844" s="12"/>
    </row>
    <row r="845" ht="46.5" customHeight="1">
      <c r="A845" s="1"/>
      <c r="B845" s="2"/>
      <c r="C845" s="2"/>
      <c r="D845" s="3"/>
      <c r="E845" s="3"/>
      <c r="F845" s="3"/>
      <c r="G845" s="3"/>
      <c r="H845" s="4"/>
      <c r="I845" s="5"/>
      <c r="J845" s="6"/>
      <c r="K845" s="7"/>
      <c r="L845" s="8"/>
      <c r="M845" s="9"/>
      <c r="N845" s="9"/>
      <c r="O845" s="9"/>
      <c r="P845" s="10"/>
      <c r="Q845" s="11"/>
      <c r="R845" s="11"/>
      <c r="S845" s="11"/>
      <c r="T845" s="11"/>
      <c r="U845" s="11"/>
      <c r="V845" s="11"/>
      <c r="W845" s="11"/>
      <c r="X845" s="11"/>
      <c r="Y845" s="11"/>
      <c r="Z845" s="12"/>
      <c r="AA845" s="12"/>
      <c r="AB845" s="12"/>
      <c r="AC845" s="12"/>
      <c r="AD845" s="12"/>
      <c r="AE845" s="12"/>
      <c r="AF845" s="12"/>
    </row>
    <row r="846" ht="46.5" customHeight="1">
      <c r="A846" s="1"/>
      <c r="B846" s="2"/>
      <c r="C846" s="2"/>
      <c r="D846" s="3"/>
      <c r="E846" s="3"/>
      <c r="F846" s="3"/>
      <c r="G846" s="3"/>
      <c r="H846" s="4"/>
      <c r="I846" s="5"/>
      <c r="J846" s="6"/>
      <c r="K846" s="7"/>
      <c r="L846" s="8"/>
      <c r="M846" s="9"/>
      <c r="N846" s="9"/>
      <c r="O846" s="9"/>
      <c r="P846" s="10"/>
      <c r="Q846" s="11"/>
      <c r="R846" s="11"/>
      <c r="S846" s="11"/>
      <c r="T846" s="11"/>
      <c r="U846" s="11"/>
      <c r="V846" s="11"/>
      <c r="W846" s="11"/>
      <c r="X846" s="11"/>
      <c r="Y846" s="11"/>
      <c r="Z846" s="12"/>
      <c r="AA846" s="12"/>
      <c r="AB846" s="12"/>
      <c r="AC846" s="12"/>
      <c r="AD846" s="12"/>
      <c r="AE846" s="12"/>
      <c r="AF846" s="12"/>
    </row>
    <row r="847" ht="46.5" customHeight="1">
      <c r="A847" s="1"/>
      <c r="B847" s="2"/>
      <c r="C847" s="2"/>
      <c r="D847" s="3"/>
      <c r="E847" s="3"/>
      <c r="F847" s="3"/>
      <c r="G847" s="3"/>
      <c r="H847" s="4"/>
      <c r="I847" s="5"/>
      <c r="J847" s="6"/>
      <c r="K847" s="7"/>
      <c r="L847" s="8"/>
      <c r="M847" s="9"/>
      <c r="N847" s="9"/>
      <c r="O847" s="9"/>
      <c r="P847" s="10"/>
      <c r="Q847" s="11"/>
      <c r="R847" s="11"/>
      <c r="S847" s="11"/>
      <c r="T847" s="11"/>
      <c r="U847" s="11"/>
      <c r="V847" s="11"/>
      <c r="W847" s="11"/>
      <c r="X847" s="11"/>
      <c r="Y847" s="11"/>
      <c r="Z847" s="12"/>
      <c r="AA847" s="12"/>
      <c r="AB847" s="12"/>
      <c r="AC847" s="12"/>
      <c r="AD847" s="12"/>
      <c r="AE847" s="12"/>
      <c r="AF847" s="12"/>
    </row>
    <row r="848" ht="46.5" customHeight="1">
      <c r="A848" s="1"/>
      <c r="B848" s="2"/>
      <c r="C848" s="2"/>
      <c r="D848" s="3"/>
      <c r="E848" s="3"/>
      <c r="F848" s="3"/>
      <c r="G848" s="3"/>
      <c r="H848" s="4"/>
      <c r="I848" s="5"/>
      <c r="J848" s="6"/>
      <c r="K848" s="7"/>
      <c r="L848" s="8"/>
      <c r="M848" s="9"/>
      <c r="N848" s="9"/>
      <c r="O848" s="9"/>
      <c r="P848" s="10"/>
      <c r="Q848" s="11"/>
      <c r="R848" s="11"/>
      <c r="S848" s="11"/>
      <c r="T848" s="11"/>
      <c r="U848" s="11"/>
      <c r="V848" s="11"/>
      <c r="W848" s="11"/>
      <c r="X848" s="11"/>
      <c r="Y848" s="11"/>
      <c r="Z848" s="12"/>
      <c r="AA848" s="12"/>
      <c r="AB848" s="12"/>
      <c r="AC848" s="12"/>
      <c r="AD848" s="12"/>
      <c r="AE848" s="12"/>
      <c r="AF848" s="12"/>
    </row>
    <row r="849" ht="46.5" customHeight="1">
      <c r="A849" s="1"/>
      <c r="B849" s="2"/>
      <c r="C849" s="2"/>
      <c r="D849" s="3"/>
      <c r="E849" s="3"/>
      <c r="F849" s="3"/>
      <c r="G849" s="3"/>
      <c r="H849" s="4"/>
      <c r="I849" s="5"/>
      <c r="J849" s="6"/>
      <c r="K849" s="7"/>
      <c r="L849" s="8"/>
      <c r="M849" s="9"/>
      <c r="N849" s="9"/>
      <c r="O849" s="9"/>
      <c r="P849" s="10"/>
      <c r="Q849" s="11"/>
      <c r="R849" s="11"/>
      <c r="S849" s="11"/>
      <c r="T849" s="11"/>
      <c r="U849" s="11"/>
      <c r="V849" s="11"/>
      <c r="W849" s="11"/>
      <c r="X849" s="11"/>
      <c r="Y849" s="11"/>
      <c r="Z849" s="12"/>
      <c r="AA849" s="12"/>
      <c r="AB849" s="12"/>
      <c r="AC849" s="12"/>
      <c r="AD849" s="12"/>
      <c r="AE849" s="12"/>
      <c r="AF849" s="12"/>
    </row>
    <row r="850" ht="46.5" customHeight="1">
      <c r="A850" s="1"/>
      <c r="B850" s="2"/>
      <c r="C850" s="2"/>
      <c r="D850" s="3"/>
      <c r="E850" s="3"/>
      <c r="F850" s="3"/>
      <c r="G850" s="3"/>
      <c r="H850" s="4"/>
      <c r="I850" s="5"/>
      <c r="J850" s="6"/>
      <c r="K850" s="7"/>
      <c r="L850" s="8"/>
      <c r="M850" s="9"/>
      <c r="N850" s="9"/>
      <c r="O850" s="9"/>
      <c r="P850" s="10"/>
      <c r="Q850" s="11"/>
      <c r="R850" s="11"/>
      <c r="S850" s="11"/>
      <c r="T850" s="11"/>
      <c r="U850" s="11"/>
      <c r="V850" s="11"/>
      <c r="W850" s="11"/>
      <c r="X850" s="11"/>
      <c r="Y850" s="11"/>
      <c r="Z850" s="12"/>
      <c r="AA850" s="12"/>
      <c r="AB850" s="12"/>
      <c r="AC850" s="12"/>
      <c r="AD850" s="12"/>
      <c r="AE850" s="12"/>
      <c r="AF850" s="12"/>
    </row>
    <row r="851" ht="46.5" customHeight="1">
      <c r="A851" s="1"/>
      <c r="B851" s="2"/>
      <c r="C851" s="2"/>
      <c r="D851" s="3"/>
      <c r="E851" s="3"/>
      <c r="F851" s="3"/>
      <c r="G851" s="3"/>
      <c r="H851" s="4"/>
      <c r="I851" s="5"/>
      <c r="J851" s="6"/>
      <c r="K851" s="7"/>
      <c r="L851" s="8"/>
      <c r="M851" s="9"/>
      <c r="N851" s="9"/>
      <c r="O851" s="9"/>
      <c r="P851" s="10"/>
      <c r="Q851" s="11"/>
      <c r="R851" s="11"/>
      <c r="S851" s="11"/>
      <c r="T851" s="11"/>
      <c r="U851" s="11"/>
      <c r="V851" s="11"/>
      <c r="W851" s="11"/>
      <c r="X851" s="11"/>
      <c r="Y851" s="11"/>
      <c r="Z851" s="12"/>
      <c r="AA851" s="12"/>
      <c r="AB851" s="12"/>
      <c r="AC851" s="12"/>
      <c r="AD851" s="12"/>
      <c r="AE851" s="12"/>
      <c r="AF851" s="12"/>
    </row>
    <row r="852" ht="46.5" customHeight="1">
      <c r="A852" s="1"/>
      <c r="B852" s="2"/>
      <c r="C852" s="2"/>
      <c r="D852" s="3"/>
      <c r="E852" s="3"/>
      <c r="F852" s="3"/>
      <c r="G852" s="3"/>
      <c r="H852" s="4"/>
      <c r="I852" s="5"/>
      <c r="J852" s="6"/>
      <c r="K852" s="7"/>
      <c r="L852" s="8"/>
      <c r="M852" s="9"/>
      <c r="N852" s="9"/>
      <c r="O852" s="9"/>
      <c r="P852" s="10"/>
      <c r="Q852" s="11"/>
      <c r="R852" s="11"/>
      <c r="S852" s="11"/>
      <c r="T852" s="11"/>
      <c r="U852" s="11"/>
      <c r="V852" s="11"/>
      <c r="W852" s="11"/>
      <c r="X852" s="11"/>
      <c r="Y852" s="11"/>
      <c r="Z852" s="12"/>
      <c r="AA852" s="12"/>
      <c r="AB852" s="12"/>
      <c r="AC852" s="12"/>
      <c r="AD852" s="12"/>
      <c r="AE852" s="12"/>
      <c r="AF852" s="12"/>
    </row>
    <row r="853" ht="46.5" customHeight="1">
      <c r="A853" s="1"/>
      <c r="B853" s="2"/>
      <c r="C853" s="2"/>
      <c r="D853" s="3"/>
      <c r="E853" s="3"/>
      <c r="F853" s="3"/>
      <c r="G853" s="3"/>
      <c r="H853" s="4"/>
      <c r="I853" s="5"/>
      <c r="J853" s="6"/>
      <c r="K853" s="7"/>
      <c r="L853" s="8"/>
      <c r="M853" s="9"/>
      <c r="N853" s="9"/>
      <c r="O853" s="9"/>
      <c r="P853" s="10"/>
      <c r="Q853" s="11"/>
      <c r="R853" s="11"/>
      <c r="S853" s="11"/>
      <c r="T853" s="11"/>
      <c r="U853" s="11"/>
      <c r="V853" s="11"/>
      <c r="W853" s="11"/>
      <c r="X853" s="11"/>
      <c r="Y853" s="11"/>
      <c r="Z853" s="12"/>
      <c r="AA853" s="12"/>
      <c r="AB853" s="12"/>
      <c r="AC853" s="12"/>
      <c r="AD853" s="12"/>
      <c r="AE853" s="12"/>
      <c r="AF853" s="12"/>
    </row>
    <row r="854" ht="46.5" customHeight="1">
      <c r="A854" s="1"/>
      <c r="B854" s="2"/>
      <c r="C854" s="2"/>
      <c r="D854" s="3"/>
      <c r="E854" s="3"/>
      <c r="F854" s="3"/>
      <c r="G854" s="3"/>
      <c r="H854" s="4"/>
      <c r="I854" s="5"/>
      <c r="J854" s="6"/>
      <c r="K854" s="7"/>
      <c r="L854" s="8"/>
      <c r="M854" s="9"/>
      <c r="N854" s="9"/>
      <c r="O854" s="9"/>
      <c r="P854" s="10"/>
      <c r="Q854" s="11"/>
      <c r="R854" s="11"/>
      <c r="S854" s="11"/>
      <c r="T854" s="11"/>
      <c r="U854" s="11"/>
      <c r="V854" s="11"/>
      <c r="W854" s="11"/>
      <c r="X854" s="11"/>
      <c r="Y854" s="11"/>
      <c r="Z854" s="12"/>
      <c r="AA854" s="12"/>
      <c r="AB854" s="12"/>
      <c r="AC854" s="12"/>
      <c r="AD854" s="12"/>
      <c r="AE854" s="12"/>
      <c r="AF854" s="12"/>
    </row>
    <row r="855" ht="46.5" customHeight="1">
      <c r="A855" s="1"/>
      <c r="B855" s="2"/>
      <c r="C855" s="2"/>
      <c r="D855" s="3"/>
      <c r="E855" s="3"/>
      <c r="F855" s="3"/>
      <c r="G855" s="3"/>
      <c r="H855" s="4"/>
      <c r="I855" s="5"/>
      <c r="J855" s="6"/>
      <c r="K855" s="7"/>
      <c r="L855" s="8"/>
      <c r="M855" s="9"/>
      <c r="N855" s="9"/>
      <c r="O855" s="9"/>
      <c r="P855" s="10"/>
      <c r="Q855" s="11"/>
      <c r="R855" s="11"/>
      <c r="S855" s="11"/>
      <c r="T855" s="11"/>
      <c r="U855" s="11"/>
      <c r="V855" s="11"/>
      <c r="W855" s="11"/>
      <c r="X855" s="11"/>
      <c r="Y855" s="11"/>
      <c r="Z855" s="12"/>
      <c r="AA855" s="12"/>
      <c r="AB855" s="12"/>
      <c r="AC855" s="12"/>
      <c r="AD855" s="12"/>
      <c r="AE855" s="12"/>
      <c r="AF855" s="12"/>
    </row>
    <row r="856" ht="46.5" customHeight="1">
      <c r="A856" s="1"/>
      <c r="B856" s="2"/>
      <c r="C856" s="2"/>
      <c r="D856" s="3"/>
      <c r="E856" s="3"/>
      <c r="F856" s="3"/>
      <c r="G856" s="3"/>
      <c r="H856" s="4"/>
      <c r="I856" s="5"/>
      <c r="J856" s="6"/>
      <c r="K856" s="7"/>
      <c r="L856" s="8"/>
      <c r="M856" s="9"/>
      <c r="N856" s="9"/>
      <c r="O856" s="9"/>
      <c r="P856" s="10"/>
      <c r="Q856" s="11"/>
      <c r="R856" s="11"/>
      <c r="S856" s="11"/>
      <c r="T856" s="11"/>
      <c r="U856" s="11"/>
      <c r="V856" s="11"/>
      <c r="W856" s="11"/>
      <c r="X856" s="11"/>
      <c r="Y856" s="11"/>
      <c r="Z856" s="12"/>
      <c r="AA856" s="12"/>
      <c r="AB856" s="12"/>
      <c r="AC856" s="12"/>
      <c r="AD856" s="12"/>
      <c r="AE856" s="12"/>
      <c r="AF856" s="12"/>
    </row>
    <row r="857" ht="46.5" customHeight="1">
      <c r="A857" s="1"/>
      <c r="B857" s="2"/>
      <c r="C857" s="2"/>
      <c r="D857" s="3"/>
      <c r="E857" s="3"/>
      <c r="F857" s="3"/>
      <c r="G857" s="3"/>
      <c r="H857" s="4"/>
      <c r="I857" s="5"/>
      <c r="J857" s="6"/>
      <c r="K857" s="7"/>
      <c r="L857" s="8"/>
      <c r="M857" s="9"/>
      <c r="N857" s="9"/>
      <c r="O857" s="9"/>
      <c r="P857" s="10"/>
      <c r="Q857" s="11"/>
      <c r="R857" s="11"/>
      <c r="S857" s="11"/>
      <c r="T857" s="11"/>
      <c r="U857" s="11"/>
      <c r="V857" s="11"/>
      <c r="W857" s="11"/>
      <c r="X857" s="11"/>
      <c r="Y857" s="11"/>
      <c r="Z857" s="12"/>
      <c r="AA857" s="12"/>
      <c r="AB857" s="12"/>
      <c r="AC857" s="12"/>
      <c r="AD857" s="12"/>
      <c r="AE857" s="12"/>
      <c r="AF857" s="12"/>
    </row>
    <row r="858" ht="46.5" customHeight="1">
      <c r="A858" s="1"/>
      <c r="B858" s="2"/>
      <c r="C858" s="2"/>
      <c r="D858" s="3"/>
      <c r="E858" s="3"/>
      <c r="F858" s="3"/>
      <c r="G858" s="3"/>
      <c r="H858" s="4"/>
      <c r="I858" s="5"/>
      <c r="J858" s="6"/>
      <c r="K858" s="7"/>
      <c r="L858" s="8"/>
      <c r="M858" s="9"/>
      <c r="N858" s="9"/>
      <c r="O858" s="9"/>
      <c r="P858" s="10"/>
      <c r="Q858" s="11"/>
      <c r="R858" s="11"/>
      <c r="S858" s="11"/>
      <c r="T858" s="11"/>
      <c r="U858" s="11"/>
      <c r="V858" s="11"/>
      <c r="W858" s="11"/>
      <c r="X858" s="11"/>
      <c r="Y858" s="11"/>
      <c r="Z858" s="12"/>
      <c r="AA858" s="12"/>
      <c r="AB858" s="12"/>
      <c r="AC858" s="12"/>
      <c r="AD858" s="12"/>
      <c r="AE858" s="12"/>
      <c r="AF858" s="12"/>
    </row>
    <row r="859" ht="46.5" customHeight="1">
      <c r="A859" s="1"/>
      <c r="B859" s="2"/>
      <c r="C859" s="2"/>
      <c r="D859" s="3"/>
      <c r="E859" s="3"/>
      <c r="F859" s="3"/>
      <c r="G859" s="3"/>
      <c r="H859" s="4"/>
      <c r="I859" s="5"/>
      <c r="J859" s="6"/>
      <c r="K859" s="7"/>
      <c r="L859" s="8"/>
      <c r="M859" s="9"/>
      <c r="N859" s="9"/>
      <c r="O859" s="9"/>
      <c r="P859" s="10"/>
      <c r="Q859" s="11"/>
      <c r="R859" s="11"/>
      <c r="S859" s="11"/>
      <c r="T859" s="11"/>
      <c r="U859" s="11"/>
      <c r="V859" s="11"/>
      <c r="W859" s="11"/>
      <c r="X859" s="11"/>
      <c r="Y859" s="11"/>
      <c r="Z859" s="12"/>
      <c r="AA859" s="12"/>
      <c r="AB859" s="12"/>
      <c r="AC859" s="12"/>
      <c r="AD859" s="12"/>
      <c r="AE859" s="12"/>
      <c r="AF859" s="12"/>
    </row>
    <row r="860" ht="46.5" customHeight="1">
      <c r="A860" s="1"/>
      <c r="B860" s="2"/>
      <c r="C860" s="2"/>
      <c r="D860" s="3"/>
      <c r="E860" s="3"/>
      <c r="F860" s="3"/>
      <c r="G860" s="3"/>
      <c r="H860" s="4"/>
      <c r="I860" s="5"/>
      <c r="J860" s="6"/>
      <c r="K860" s="7"/>
      <c r="L860" s="8"/>
      <c r="M860" s="9"/>
      <c r="N860" s="9"/>
      <c r="O860" s="9"/>
      <c r="P860" s="10"/>
      <c r="Q860" s="11"/>
      <c r="R860" s="11"/>
      <c r="S860" s="11"/>
      <c r="T860" s="11"/>
      <c r="U860" s="11"/>
      <c r="V860" s="11"/>
      <c r="W860" s="11"/>
      <c r="X860" s="11"/>
      <c r="Y860" s="11"/>
      <c r="Z860" s="12"/>
      <c r="AA860" s="12"/>
      <c r="AB860" s="12"/>
      <c r="AC860" s="12"/>
      <c r="AD860" s="12"/>
      <c r="AE860" s="12"/>
      <c r="AF860" s="12"/>
    </row>
    <row r="861" ht="46.5" customHeight="1">
      <c r="A861" s="1"/>
      <c r="B861" s="2"/>
      <c r="C861" s="2"/>
      <c r="D861" s="3"/>
      <c r="E861" s="3"/>
      <c r="F861" s="3"/>
      <c r="G861" s="3"/>
      <c r="H861" s="4"/>
      <c r="I861" s="5"/>
      <c r="J861" s="6"/>
      <c r="K861" s="7"/>
      <c r="L861" s="8"/>
      <c r="M861" s="9"/>
      <c r="N861" s="9"/>
      <c r="O861" s="9"/>
      <c r="P861" s="10"/>
      <c r="Q861" s="11"/>
      <c r="R861" s="11"/>
      <c r="S861" s="11"/>
      <c r="T861" s="11"/>
      <c r="U861" s="11"/>
      <c r="V861" s="11"/>
      <c r="W861" s="11"/>
      <c r="X861" s="11"/>
      <c r="Y861" s="11"/>
      <c r="Z861" s="12"/>
      <c r="AA861" s="12"/>
      <c r="AB861" s="12"/>
      <c r="AC861" s="12"/>
      <c r="AD861" s="12"/>
      <c r="AE861" s="12"/>
      <c r="AF861" s="12"/>
    </row>
    <row r="862" ht="46.5" customHeight="1">
      <c r="A862" s="1"/>
      <c r="B862" s="2"/>
      <c r="C862" s="2"/>
      <c r="D862" s="3"/>
      <c r="E862" s="3"/>
      <c r="F862" s="3"/>
      <c r="G862" s="3"/>
      <c r="H862" s="4"/>
      <c r="I862" s="5"/>
      <c r="J862" s="6"/>
      <c r="K862" s="7"/>
      <c r="L862" s="8"/>
      <c r="M862" s="9"/>
      <c r="N862" s="9"/>
      <c r="O862" s="9"/>
      <c r="P862" s="10"/>
      <c r="Q862" s="11"/>
      <c r="R862" s="11"/>
      <c r="S862" s="11"/>
      <c r="T862" s="11"/>
      <c r="U862" s="11"/>
      <c r="V862" s="11"/>
      <c r="W862" s="11"/>
      <c r="X862" s="11"/>
      <c r="Y862" s="11"/>
      <c r="Z862" s="12"/>
      <c r="AA862" s="12"/>
      <c r="AB862" s="12"/>
      <c r="AC862" s="12"/>
      <c r="AD862" s="12"/>
      <c r="AE862" s="12"/>
      <c r="AF862" s="12"/>
    </row>
    <row r="863" ht="46.5" customHeight="1">
      <c r="A863" s="1"/>
      <c r="B863" s="2"/>
      <c r="C863" s="2"/>
      <c r="D863" s="3"/>
      <c r="E863" s="3"/>
      <c r="F863" s="3"/>
      <c r="G863" s="3"/>
      <c r="H863" s="4"/>
      <c r="I863" s="5"/>
      <c r="J863" s="6"/>
      <c r="K863" s="7"/>
      <c r="L863" s="8"/>
      <c r="M863" s="9"/>
      <c r="N863" s="9"/>
      <c r="O863" s="9"/>
      <c r="P863" s="10"/>
      <c r="Q863" s="11"/>
      <c r="R863" s="11"/>
      <c r="S863" s="11"/>
      <c r="T863" s="11"/>
      <c r="U863" s="11"/>
      <c r="V863" s="11"/>
      <c r="W863" s="11"/>
      <c r="X863" s="11"/>
      <c r="Y863" s="11"/>
      <c r="Z863" s="12"/>
      <c r="AA863" s="12"/>
      <c r="AB863" s="12"/>
      <c r="AC863" s="12"/>
      <c r="AD863" s="12"/>
      <c r="AE863" s="12"/>
      <c r="AF863" s="12"/>
    </row>
    <row r="864" ht="46.5" customHeight="1">
      <c r="A864" s="1"/>
      <c r="B864" s="2"/>
      <c r="C864" s="2"/>
      <c r="D864" s="3"/>
      <c r="E864" s="3"/>
      <c r="F864" s="3"/>
      <c r="G864" s="3"/>
      <c r="H864" s="4"/>
      <c r="I864" s="5"/>
      <c r="J864" s="6"/>
      <c r="K864" s="7"/>
      <c r="L864" s="8"/>
      <c r="M864" s="9"/>
      <c r="N864" s="9"/>
      <c r="O864" s="9"/>
      <c r="P864" s="10"/>
      <c r="Q864" s="11"/>
      <c r="R864" s="11"/>
      <c r="S864" s="11"/>
      <c r="T864" s="11"/>
      <c r="U864" s="11"/>
      <c r="V864" s="11"/>
      <c r="W864" s="11"/>
      <c r="X864" s="11"/>
      <c r="Y864" s="11"/>
      <c r="Z864" s="12"/>
      <c r="AA864" s="12"/>
      <c r="AB864" s="12"/>
      <c r="AC864" s="12"/>
      <c r="AD864" s="12"/>
      <c r="AE864" s="12"/>
      <c r="AF864" s="12"/>
    </row>
    <row r="865" ht="46.5" customHeight="1">
      <c r="A865" s="1"/>
      <c r="B865" s="2"/>
      <c r="C865" s="2"/>
      <c r="D865" s="3"/>
      <c r="E865" s="3"/>
      <c r="F865" s="3"/>
      <c r="G865" s="3"/>
      <c r="H865" s="4"/>
      <c r="I865" s="5"/>
      <c r="J865" s="6"/>
      <c r="K865" s="7"/>
      <c r="L865" s="8"/>
      <c r="M865" s="9"/>
      <c r="N865" s="9"/>
      <c r="O865" s="9"/>
      <c r="P865" s="10"/>
      <c r="Q865" s="11"/>
      <c r="R865" s="11"/>
      <c r="S865" s="11"/>
      <c r="T865" s="11"/>
      <c r="U865" s="11"/>
      <c r="V865" s="11"/>
      <c r="W865" s="11"/>
      <c r="X865" s="11"/>
      <c r="Y865" s="11"/>
      <c r="Z865" s="12"/>
      <c r="AA865" s="12"/>
      <c r="AB865" s="12"/>
      <c r="AC865" s="12"/>
      <c r="AD865" s="12"/>
      <c r="AE865" s="12"/>
      <c r="AF865" s="12"/>
    </row>
    <row r="866" ht="46.5" customHeight="1">
      <c r="A866" s="1"/>
      <c r="B866" s="2"/>
      <c r="C866" s="2"/>
      <c r="D866" s="3"/>
      <c r="E866" s="3"/>
      <c r="F866" s="3"/>
      <c r="G866" s="3"/>
      <c r="H866" s="4"/>
      <c r="I866" s="5"/>
      <c r="J866" s="6"/>
      <c r="K866" s="7"/>
      <c r="L866" s="8"/>
      <c r="M866" s="9"/>
      <c r="N866" s="9"/>
      <c r="O866" s="9"/>
      <c r="P866" s="10"/>
      <c r="Q866" s="11"/>
      <c r="R866" s="11"/>
      <c r="S866" s="11"/>
      <c r="T866" s="11"/>
      <c r="U866" s="11"/>
      <c r="V866" s="11"/>
      <c r="W866" s="11"/>
      <c r="X866" s="11"/>
      <c r="Y866" s="11"/>
      <c r="Z866" s="12"/>
      <c r="AA866" s="12"/>
      <c r="AB866" s="12"/>
      <c r="AC866" s="12"/>
      <c r="AD866" s="12"/>
      <c r="AE866" s="12"/>
      <c r="AF866" s="12"/>
    </row>
    <row r="867" ht="46.5" customHeight="1">
      <c r="A867" s="1"/>
      <c r="B867" s="2"/>
      <c r="C867" s="2"/>
      <c r="D867" s="3"/>
      <c r="E867" s="3"/>
      <c r="F867" s="3"/>
      <c r="G867" s="3"/>
      <c r="H867" s="4"/>
      <c r="I867" s="5"/>
      <c r="J867" s="6"/>
      <c r="K867" s="7"/>
      <c r="L867" s="8"/>
      <c r="M867" s="9"/>
      <c r="N867" s="9"/>
      <c r="O867" s="9"/>
      <c r="P867" s="10"/>
      <c r="Q867" s="11"/>
      <c r="R867" s="11"/>
      <c r="S867" s="11"/>
      <c r="T867" s="11"/>
      <c r="U867" s="11"/>
      <c r="V867" s="11"/>
      <c r="W867" s="11"/>
      <c r="X867" s="11"/>
      <c r="Y867" s="11"/>
      <c r="Z867" s="12"/>
      <c r="AA867" s="12"/>
      <c r="AB867" s="12"/>
      <c r="AC867" s="12"/>
      <c r="AD867" s="12"/>
      <c r="AE867" s="12"/>
      <c r="AF867" s="12"/>
    </row>
    <row r="868" ht="46.5" customHeight="1">
      <c r="A868" s="1"/>
      <c r="B868" s="2"/>
      <c r="C868" s="2"/>
      <c r="D868" s="3"/>
      <c r="E868" s="3"/>
      <c r="F868" s="3"/>
      <c r="G868" s="3"/>
      <c r="H868" s="4"/>
      <c r="I868" s="5"/>
      <c r="J868" s="6"/>
      <c r="K868" s="7"/>
      <c r="L868" s="8"/>
      <c r="M868" s="9"/>
      <c r="N868" s="9"/>
      <c r="O868" s="9"/>
      <c r="P868" s="10"/>
      <c r="Q868" s="11"/>
      <c r="R868" s="11"/>
      <c r="S868" s="11"/>
      <c r="T868" s="11"/>
      <c r="U868" s="11"/>
      <c r="V868" s="11"/>
      <c r="W868" s="11"/>
      <c r="X868" s="11"/>
      <c r="Y868" s="11"/>
      <c r="Z868" s="12"/>
      <c r="AA868" s="12"/>
      <c r="AB868" s="12"/>
      <c r="AC868" s="12"/>
      <c r="AD868" s="12"/>
      <c r="AE868" s="12"/>
      <c r="AF868" s="12"/>
    </row>
    <row r="869" ht="46.5" customHeight="1">
      <c r="A869" s="1"/>
      <c r="B869" s="2"/>
      <c r="C869" s="2"/>
      <c r="D869" s="3"/>
      <c r="E869" s="3"/>
      <c r="F869" s="3"/>
      <c r="G869" s="3"/>
      <c r="H869" s="4"/>
      <c r="I869" s="5"/>
      <c r="J869" s="6"/>
      <c r="K869" s="7"/>
      <c r="L869" s="8"/>
      <c r="M869" s="9"/>
      <c r="N869" s="9"/>
      <c r="O869" s="9"/>
      <c r="P869" s="10"/>
      <c r="Q869" s="11"/>
      <c r="R869" s="11"/>
      <c r="S869" s="11"/>
      <c r="T869" s="11"/>
      <c r="U869" s="11"/>
      <c r="V869" s="11"/>
      <c r="W869" s="11"/>
      <c r="X869" s="11"/>
      <c r="Y869" s="11"/>
      <c r="Z869" s="12"/>
      <c r="AA869" s="12"/>
      <c r="AB869" s="12"/>
      <c r="AC869" s="12"/>
      <c r="AD869" s="12"/>
      <c r="AE869" s="12"/>
      <c r="AF869" s="12"/>
    </row>
    <row r="870" ht="46.5" customHeight="1">
      <c r="A870" s="1"/>
      <c r="B870" s="2"/>
      <c r="C870" s="2"/>
      <c r="D870" s="3"/>
      <c r="E870" s="3"/>
      <c r="F870" s="3"/>
      <c r="G870" s="3"/>
      <c r="H870" s="4"/>
      <c r="I870" s="5"/>
      <c r="J870" s="6"/>
      <c r="K870" s="7"/>
      <c r="L870" s="8"/>
      <c r="M870" s="9"/>
      <c r="N870" s="9"/>
      <c r="O870" s="9"/>
      <c r="P870" s="10"/>
      <c r="Q870" s="11"/>
      <c r="R870" s="11"/>
      <c r="S870" s="11"/>
      <c r="T870" s="11"/>
      <c r="U870" s="11"/>
      <c r="V870" s="11"/>
      <c r="W870" s="11"/>
      <c r="X870" s="11"/>
      <c r="Y870" s="11"/>
      <c r="Z870" s="12"/>
      <c r="AA870" s="12"/>
      <c r="AB870" s="12"/>
      <c r="AC870" s="12"/>
      <c r="AD870" s="12"/>
      <c r="AE870" s="12"/>
      <c r="AF870" s="12"/>
    </row>
    <row r="871" ht="46.5" customHeight="1">
      <c r="A871" s="1"/>
      <c r="B871" s="2"/>
      <c r="C871" s="2"/>
      <c r="D871" s="3"/>
      <c r="E871" s="3"/>
      <c r="F871" s="3"/>
      <c r="G871" s="3"/>
      <c r="H871" s="4"/>
      <c r="I871" s="5"/>
      <c r="J871" s="6"/>
      <c r="K871" s="7"/>
      <c r="L871" s="8"/>
      <c r="M871" s="9"/>
      <c r="N871" s="9"/>
      <c r="O871" s="9"/>
      <c r="P871" s="10"/>
      <c r="Q871" s="11"/>
      <c r="R871" s="11"/>
      <c r="S871" s="11"/>
      <c r="T871" s="11"/>
      <c r="U871" s="11"/>
      <c r="V871" s="11"/>
      <c r="W871" s="11"/>
      <c r="X871" s="11"/>
      <c r="Y871" s="11"/>
      <c r="Z871" s="12"/>
      <c r="AA871" s="12"/>
      <c r="AB871" s="12"/>
      <c r="AC871" s="12"/>
      <c r="AD871" s="12"/>
      <c r="AE871" s="12"/>
      <c r="AF871" s="12"/>
    </row>
    <row r="872" ht="46.5" customHeight="1">
      <c r="A872" s="1"/>
      <c r="B872" s="2"/>
      <c r="C872" s="2"/>
      <c r="D872" s="3"/>
      <c r="E872" s="3"/>
      <c r="F872" s="3"/>
      <c r="G872" s="3"/>
      <c r="H872" s="4"/>
      <c r="I872" s="5"/>
      <c r="J872" s="6"/>
      <c r="K872" s="7"/>
      <c r="L872" s="8"/>
      <c r="M872" s="9"/>
      <c r="N872" s="9"/>
      <c r="O872" s="9"/>
      <c r="P872" s="10"/>
      <c r="Q872" s="11"/>
      <c r="R872" s="11"/>
      <c r="S872" s="11"/>
      <c r="T872" s="11"/>
      <c r="U872" s="11"/>
      <c r="V872" s="11"/>
      <c r="W872" s="11"/>
      <c r="X872" s="11"/>
      <c r="Y872" s="11"/>
      <c r="Z872" s="12"/>
      <c r="AA872" s="12"/>
      <c r="AB872" s="12"/>
      <c r="AC872" s="12"/>
      <c r="AD872" s="12"/>
      <c r="AE872" s="12"/>
      <c r="AF872" s="12"/>
    </row>
    <row r="873" ht="46.5" customHeight="1">
      <c r="A873" s="1"/>
      <c r="B873" s="2"/>
      <c r="C873" s="2"/>
      <c r="D873" s="3"/>
      <c r="E873" s="3"/>
      <c r="F873" s="3"/>
      <c r="G873" s="3"/>
      <c r="H873" s="4"/>
      <c r="I873" s="5"/>
      <c r="J873" s="6"/>
      <c r="K873" s="7"/>
      <c r="L873" s="8"/>
      <c r="M873" s="9"/>
      <c r="N873" s="9"/>
      <c r="O873" s="9"/>
      <c r="P873" s="10"/>
      <c r="Q873" s="11"/>
      <c r="R873" s="11"/>
      <c r="S873" s="11"/>
      <c r="T873" s="11"/>
      <c r="U873" s="11"/>
      <c r="V873" s="11"/>
      <c r="W873" s="11"/>
      <c r="X873" s="11"/>
      <c r="Y873" s="11"/>
      <c r="Z873" s="12"/>
      <c r="AA873" s="12"/>
      <c r="AB873" s="12"/>
      <c r="AC873" s="12"/>
      <c r="AD873" s="12"/>
      <c r="AE873" s="12"/>
      <c r="AF873" s="12"/>
    </row>
    <row r="874" ht="46.5" customHeight="1">
      <c r="A874" s="1"/>
      <c r="B874" s="2"/>
      <c r="C874" s="2"/>
      <c r="D874" s="3"/>
      <c r="E874" s="3"/>
      <c r="F874" s="3"/>
      <c r="G874" s="3"/>
      <c r="H874" s="4"/>
      <c r="I874" s="5"/>
      <c r="J874" s="6"/>
      <c r="K874" s="7"/>
      <c r="L874" s="8"/>
      <c r="M874" s="9"/>
      <c r="N874" s="9"/>
      <c r="O874" s="9"/>
      <c r="P874" s="10"/>
      <c r="Q874" s="11"/>
      <c r="R874" s="11"/>
      <c r="S874" s="11"/>
      <c r="T874" s="11"/>
      <c r="U874" s="11"/>
      <c r="V874" s="11"/>
      <c r="W874" s="11"/>
      <c r="X874" s="11"/>
      <c r="Y874" s="11"/>
      <c r="Z874" s="12"/>
      <c r="AA874" s="12"/>
      <c r="AB874" s="12"/>
      <c r="AC874" s="12"/>
      <c r="AD874" s="12"/>
      <c r="AE874" s="12"/>
      <c r="AF874" s="12"/>
    </row>
    <row r="875" ht="46.5" customHeight="1">
      <c r="A875" s="1"/>
      <c r="B875" s="2"/>
      <c r="C875" s="2"/>
      <c r="D875" s="3"/>
      <c r="E875" s="3"/>
      <c r="F875" s="3"/>
      <c r="G875" s="3"/>
      <c r="H875" s="4"/>
      <c r="I875" s="5"/>
      <c r="J875" s="6"/>
      <c r="K875" s="7"/>
      <c r="L875" s="8"/>
      <c r="M875" s="9"/>
      <c r="N875" s="9"/>
      <c r="O875" s="9"/>
      <c r="P875" s="10"/>
      <c r="Q875" s="11"/>
      <c r="R875" s="11"/>
      <c r="S875" s="11"/>
      <c r="T875" s="11"/>
      <c r="U875" s="11"/>
      <c r="V875" s="11"/>
      <c r="W875" s="11"/>
      <c r="X875" s="11"/>
      <c r="Y875" s="11"/>
      <c r="Z875" s="12"/>
      <c r="AA875" s="12"/>
      <c r="AB875" s="12"/>
      <c r="AC875" s="12"/>
      <c r="AD875" s="12"/>
      <c r="AE875" s="12"/>
      <c r="AF875" s="12"/>
    </row>
    <row r="876" ht="46.5" customHeight="1">
      <c r="A876" s="1"/>
      <c r="B876" s="2"/>
      <c r="C876" s="2"/>
      <c r="D876" s="3"/>
      <c r="E876" s="3"/>
      <c r="F876" s="3"/>
      <c r="G876" s="3"/>
      <c r="H876" s="4"/>
      <c r="I876" s="5"/>
      <c r="J876" s="6"/>
      <c r="K876" s="7"/>
      <c r="L876" s="8"/>
      <c r="M876" s="9"/>
      <c r="N876" s="9"/>
      <c r="O876" s="9"/>
      <c r="P876" s="10"/>
      <c r="Q876" s="11"/>
      <c r="R876" s="11"/>
      <c r="S876" s="11"/>
      <c r="T876" s="11"/>
      <c r="U876" s="11"/>
      <c r="V876" s="11"/>
      <c r="W876" s="11"/>
      <c r="X876" s="11"/>
      <c r="Y876" s="11"/>
      <c r="Z876" s="12"/>
      <c r="AA876" s="12"/>
      <c r="AB876" s="12"/>
      <c r="AC876" s="12"/>
      <c r="AD876" s="12"/>
      <c r="AE876" s="12"/>
      <c r="AF876" s="12"/>
    </row>
    <row r="877" ht="46.5" customHeight="1">
      <c r="A877" s="1"/>
      <c r="B877" s="2"/>
      <c r="C877" s="2"/>
      <c r="D877" s="3"/>
      <c r="E877" s="3"/>
      <c r="F877" s="3"/>
      <c r="G877" s="3"/>
      <c r="H877" s="4"/>
      <c r="I877" s="5"/>
      <c r="J877" s="6"/>
      <c r="K877" s="7"/>
      <c r="L877" s="8"/>
      <c r="M877" s="9"/>
      <c r="N877" s="9"/>
      <c r="O877" s="9"/>
      <c r="P877" s="10"/>
      <c r="Q877" s="11"/>
      <c r="R877" s="11"/>
      <c r="S877" s="11"/>
      <c r="T877" s="11"/>
      <c r="U877" s="11"/>
      <c r="V877" s="11"/>
      <c r="W877" s="11"/>
      <c r="X877" s="11"/>
      <c r="Y877" s="11"/>
      <c r="Z877" s="12"/>
      <c r="AA877" s="12"/>
      <c r="AB877" s="12"/>
      <c r="AC877" s="12"/>
      <c r="AD877" s="12"/>
      <c r="AE877" s="12"/>
      <c r="AF877" s="12"/>
    </row>
    <row r="878" ht="46.5" customHeight="1">
      <c r="A878" s="1"/>
      <c r="B878" s="2"/>
      <c r="C878" s="2"/>
      <c r="D878" s="3"/>
      <c r="E878" s="3"/>
      <c r="F878" s="3"/>
      <c r="G878" s="3"/>
      <c r="H878" s="4"/>
      <c r="I878" s="5"/>
      <c r="J878" s="6"/>
      <c r="K878" s="7"/>
      <c r="L878" s="8"/>
      <c r="M878" s="9"/>
      <c r="N878" s="9"/>
      <c r="O878" s="9"/>
      <c r="P878" s="10"/>
      <c r="Q878" s="11"/>
      <c r="R878" s="11"/>
      <c r="S878" s="11"/>
      <c r="T878" s="11"/>
      <c r="U878" s="11"/>
      <c r="V878" s="11"/>
      <c r="W878" s="11"/>
      <c r="X878" s="11"/>
      <c r="Y878" s="11"/>
      <c r="Z878" s="12"/>
      <c r="AA878" s="12"/>
      <c r="AB878" s="12"/>
      <c r="AC878" s="12"/>
      <c r="AD878" s="12"/>
      <c r="AE878" s="12"/>
      <c r="AF878" s="12"/>
    </row>
    <row r="879" ht="46.5" customHeight="1">
      <c r="A879" s="1"/>
      <c r="B879" s="2"/>
      <c r="C879" s="2"/>
      <c r="D879" s="3"/>
      <c r="E879" s="3"/>
      <c r="F879" s="3"/>
      <c r="G879" s="3"/>
      <c r="H879" s="4"/>
      <c r="I879" s="5"/>
      <c r="J879" s="6"/>
      <c r="K879" s="7"/>
      <c r="L879" s="8"/>
      <c r="M879" s="9"/>
      <c r="N879" s="9"/>
      <c r="O879" s="9"/>
      <c r="P879" s="10"/>
      <c r="Q879" s="11"/>
      <c r="R879" s="11"/>
      <c r="S879" s="11"/>
      <c r="T879" s="11"/>
      <c r="U879" s="11"/>
      <c r="V879" s="11"/>
      <c r="W879" s="11"/>
      <c r="X879" s="11"/>
      <c r="Y879" s="11"/>
      <c r="Z879" s="12"/>
      <c r="AA879" s="12"/>
      <c r="AB879" s="12"/>
      <c r="AC879" s="12"/>
      <c r="AD879" s="12"/>
      <c r="AE879" s="12"/>
      <c r="AF879" s="12"/>
    </row>
    <row r="880" ht="46.5" customHeight="1">
      <c r="A880" s="1"/>
      <c r="B880" s="2"/>
      <c r="C880" s="2"/>
      <c r="D880" s="3"/>
      <c r="E880" s="3"/>
      <c r="F880" s="3"/>
      <c r="G880" s="3"/>
      <c r="H880" s="4"/>
      <c r="I880" s="5"/>
      <c r="J880" s="6"/>
      <c r="K880" s="7"/>
      <c r="L880" s="8"/>
      <c r="M880" s="9"/>
      <c r="N880" s="9"/>
      <c r="O880" s="9"/>
      <c r="P880" s="10"/>
      <c r="Q880" s="11"/>
      <c r="R880" s="11"/>
      <c r="S880" s="11"/>
      <c r="T880" s="11"/>
      <c r="U880" s="11"/>
      <c r="V880" s="11"/>
      <c r="W880" s="11"/>
      <c r="X880" s="11"/>
      <c r="Y880" s="11"/>
      <c r="Z880" s="12"/>
      <c r="AA880" s="12"/>
      <c r="AB880" s="12"/>
      <c r="AC880" s="12"/>
      <c r="AD880" s="12"/>
      <c r="AE880" s="12"/>
      <c r="AF880" s="12"/>
    </row>
    <row r="881" ht="46.5" customHeight="1">
      <c r="A881" s="1"/>
      <c r="B881" s="2"/>
      <c r="C881" s="2"/>
      <c r="D881" s="3"/>
      <c r="E881" s="3"/>
      <c r="F881" s="3"/>
      <c r="G881" s="3"/>
      <c r="H881" s="4"/>
      <c r="I881" s="5"/>
      <c r="J881" s="6"/>
      <c r="K881" s="7"/>
      <c r="L881" s="8"/>
      <c r="M881" s="9"/>
      <c r="N881" s="9"/>
      <c r="O881" s="9"/>
      <c r="P881" s="10"/>
      <c r="Q881" s="11"/>
      <c r="R881" s="11"/>
      <c r="S881" s="11"/>
      <c r="T881" s="11"/>
      <c r="U881" s="11"/>
      <c r="V881" s="11"/>
      <c r="W881" s="11"/>
      <c r="X881" s="11"/>
      <c r="Y881" s="11"/>
      <c r="Z881" s="12"/>
      <c r="AA881" s="12"/>
      <c r="AB881" s="12"/>
      <c r="AC881" s="12"/>
      <c r="AD881" s="12"/>
      <c r="AE881" s="12"/>
      <c r="AF881" s="12"/>
    </row>
    <row r="882" ht="46.5" customHeight="1">
      <c r="A882" s="1"/>
      <c r="B882" s="2"/>
      <c r="C882" s="2"/>
      <c r="D882" s="3"/>
      <c r="E882" s="3"/>
      <c r="F882" s="3"/>
      <c r="G882" s="3"/>
      <c r="H882" s="4"/>
      <c r="I882" s="5"/>
      <c r="J882" s="6"/>
      <c r="K882" s="7"/>
      <c r="L882" s="8"/>
      <c r="M882" s="9"/>
      <c r="N882" s="9"/>
      <c r="O882" s="9"/>
      <c r="P882" s="10"/>
      <c r="Q882" s="11"/>
      <c r="R882" s="11"/>
      <c r="S882" s="11"/>
      <c r="T882" s="11"/>
      <c r="U882" s="11"/>
      <c r="V882" s="11"/>
      <c r="W882" s="11"/>
      <c r="X882" s="11"/>
      <c r="Y882" s="11"/>
      <c r="Z882" s="12"/>
      <c r="AA882" s="12"/>
      <c r="AB882" s="12"/>
      <c r="AC882" s="12"/>
      <c r="AD882" s="12"/>
      <c r="AE882" s="12"/>
      <c r="AF882" s="12"/>
    </row>
    <row r="883" ht="46.5" customHeight="1">
      <c r="A883" s="1"/>
      <c r="B883" s="2"/>
      <c r="C883" s="2"/>
      <c r="D883" s="3"/>
      <c r="E883" s="3"/>
      <c r="F883" s="3"/>
      <c r="G883" s="3"/>
      <c r="H883" s="4"/>
      <c r="I883" s="5"/>
      <c r="J883" s="6"/>
      <c r="K883" s="7"/>
      <c r="L883" s="8"/>
      <c r="M883" s="9"/>
      <c r="N883" s="9"/>
      <c r="O883" s="9"/>
      <c r="P883" s="10"/>
      <c r="Q883" s="11"/>
      <c r="R883" s="11"/>
      <c r="S883" s="11"/>
      <c r="T883" s="11"/>
      <c r="U883" s="11"/>
      <c r="V883" s="11"/>
      <c r="W883" s="11"/>
      <c r="X883" s="11"/>
      <c r="Y883" s="11"/>
      <c r="Z883" s="12"/>
      <c r="AA883" s="12"/>
      <c r="AB883" s="12"/>
      <c r="AC883" s="12"/>
      <c r="AD883" s="12"/>
      <c r="AE883" s="12"/>
      <c r="AF883" s="12"/>
    </row>
    <row r="884" ht="46.5" customHeight="1">
      <c r="A884" s="1"/>
      <c r="B884" s="2"/>
      <c r="C884" s="2"/>
      <c r="D884" s="3"/>
      <c r="E884" s="3"/>
      <c r="F884" s="3"/>
      <c r="G884" s="3"/>
      <c r="H884" s="4"/>
      <c r="I884" s="5"/>
      <c r="J884" s="6"/>
      <c r="K884" s="7"/>
      <c r="L884" s="8"/>
      <c r="M884" s="9"/>
      <c r="N884" s="9"/>
      <c r="O884" s="9"/>
      <c r="P884" s="10"/>
      <c r="Q884" s="11"/>
      <c r="R884" s="11"/>
      <c r="S884" s="11"/>
      <c r="T884" s="11"/>
      <c r="U884" s="11"/>
      <c r="V884" s="11"/>
      <c r="W884" s="11"/>
      <c r="X884" s="11"/>
      <c r="Y884" s="11"/>
      <c r="Z884" s="12"/>
      <c r="AA884" s="12"/>
      <c r="AB884" s="12"/>
      <c r="AC884" s="12"/>
      <c r="AD884" s="12"/>
      <c r="AE884" s="12"/>
      <c r="AF884" s="12"/>
    </row>
    <row r="885" ht="46.5" customHeight="1">
      <c r="A885" s="1"/>
      <c r="B885" s="2"/>
      <c r="C885" s="2"/>
      <c r="D885" s="3"/>
      <c r="E885" s="3"/>
      <c r="F885" s="3"/>
      <c r="G885" s="3"/>
      <c r="H885" s="4"/>
      <c r="I885" s="5"/>
      <c r="J885" s="6"/>
      <c r="K885" s="7"/>
      <c r="L885" s="8"/>
      <c r="M885" s="9"/>
      <c r="N885" s="9"/>
      <c r="O885" s="9"/>
      <c r="P885" s="10"/>
      <c r="Q885" s="11"/>
      <c r="R885" s="11"/>
      <c r="S885" s="11"/>
      <c r="T885" s="11"/>
      <c r="U885" s="11"/>
      <c r="V885" s="11"/>
      <c r="W885" s="11"/>
      <c r="X885" s="11"/>
      <c r="Y885" s="11"/>
      <c r="Z885" s="12"/>
      <c r="AA885" s="12"/>
      <c r="AB885" s="12"/>
      <c r="AC885" s="12"/>
      <c r="AD885" s="12"/>
      <c r="AE885" s="12"/>
      <c r="AF885" s="12"/>
    </row>
    <row r="886" ht="46.5" customHeight="1">
      <c r="A886" s="1"/>
      <c r="B886" s="2"/>
      <c r="C886" s="2"/>
      <c r="D886" s="3"/>
      <c r="E886" s="3"/>
      <c r="F886" s="3"/>
      <c r="G886" s="3"/>
      <c r="H886" s="4"/>
      <c r="I886" s="5"/>
      <c r="J886" s="6"/>
      <c r="K886" s="7"/>
      <c r="L886" s="8"/>
      <c r="M886" s="9"/>
      <c r="N886" s="9"/>
      <c r="O886" s="9"/>
      <c r="P886" s="10"/>
      <c r="Q886" s="11"/>
      <c r="R886" s="11"/>
      <c r="S886" s="11"/>
      <c r="T886" s="11"/>
      <c r="U886" s="11"/>
      <c r="V886" s="11"/>
      <c r="W886" s="11"/>
      <c r="X886" s="11"/>
      <c r="Y886" s="11"/>
      <c r="Z886" s="12"/>
      <c r="AA886" s="12"/>
      <c r="AB886" s="12"/>
      <c r="AC886" s="12"/>
      <c r="AD886" s="12"/>
      <c r="AE886" s="12"/>
      <c r="AF886" s="12"/>
    </row>
    <row r="887" ht="46.5" customHeight="1">
      <c r="A887" s="1"/>
      <c r="B887" s="2"/>
      <c r="C887" s="2"/>
      <c r="D887" s="3"/>
      <c r="E887" s="3"/>
      <c r="F887" s="3"/>
      <c r="G887" s="3"/>
      <c r="H887" s="4"/>
      <c r="I887" s="5"/>
      <c r="J887" s="6"/>
      <c r="K887" s="7"/>
      <c r="L887" s="8"/>
      <c r="M887" s="9"/>
      <c r="N887" s="9"/>
      <c r="O887" s="9"/>
      <c r="P887" s="10"/>
      <c r="Q887" s="11"/>
      <c r="R887" s="11"/>
      <c r="S887" s="11"/>
      <c r="T887" s="11"/>
      <c r="U887" s="11"/>
      <c r="V887" s="11"/>
      <c r="W887" s="11"/>
      <c r="X887" s="11"/>
      <c r="Y887" s="11"/>
      <c r="Z887" s="12"/>
      <c r="AA887" s="12"/>
      <c r="AB887" s="12"/>
      <c r="AC887" s="12"/>
      <c r="AD887" s="12"/>
      <c r="AE887" s="12"/>
      <c r="AF887" s="12"/>
    </row>
    <row r="888" ht="46.5" customHeight="1">
      <c r="A888" s="1"/>
      <c r="B888" s="2"/>
      <c r="C888" s="2"/>
      <c r="D888" s="3"/>
      <c r="E888" s="3"/>
      <c r="F888" s="3"/>
      <c r="G888" s="3"/>
      <c r="H888" s="4"/>
      <c r="I888" s="5"/>
      <c r="J888" s="6"/>
      <c r="K888" s="7"/>
      <c r="L888" s="8"/>
      <c r="M888" s="9"/>
      <c r="N888" s="9"/>
      <c r="O888" s="9"/>
      <c r="P888" s="10"/>
      <c r="Q888" s="11"/>
      <c r="R888" s="11"/>
      <c r="S888" s="11"/>
      <c r="T888" s="11"/>
      <c r="U888" s="11"/>
      <c r="V888" s="11"/>
      <c r="W888" s="11"/>
      <c r="X888" s="11"/>
      <c r="Y888" s="11"/>
      <c r="Z888" s="12"/>
      <c r="AA888" s="12"/>
      <c r="AB888" s="12"/>
      <c r="AC888" s="12"/>
      <c r="AD888" s="12"/>
      <c r="AE888" s="12"/>
      <c r="AF888" s="12"/>
    </row>
    <row r="889" ht="46.5" customHeight="1">
      <c r="A889" s="1"/>
      <c r="B889" s="2"/>
      <c r="C889" s="2"/>
      <c r="D889" s="3"/>
      <c r="E889" s="3"/>
      <c r="F889" s="3"/>
      <c r="G889" s="3"/>
      <c r="H889" s="4"/>
      <c r="I889" s="5"/>
      <c r="J889" s="6"/>
      <c r="K889" s="7"/>
      <c r="L889" s="8"/>
      <c r="M889" s="9"/>
      <c r="N889" s="9"/>
      <c r="O889" s="9"/>
      <c r="P889" s="10"/>
      <c r="Q889" s="11"/>
      <c r="R889" s="11"/>
      <c r="S889" s="11"/>
      <c r="T889" s="11"/>
      <c r="U889" s="11"/>
      <c r="V889" s="11"/>
      <c r="W889" s="11"/>
      <c r="X889" s="11"/>
      <c r="Y889" s="11"/>
      <c r="Z889" s="12"/>
      <c r="AA889" s="12"/>
      <c r="AB889" s="12"/>
      <c r="AC889" s="12"/>
      <c r="AD889" s="12"/>
      <c r="AE889" s="12"/>
      <c r="AF889" s="12"/>
    </row>
    <row r="890" ht="46.5" customHeight="1">
      <c r="A890" s="1"/>
      <c r="B890" s="2"/>
      <c r="C890" s="2"/>
      <c r="D890" s="3"/>
      <c r="E890" s="3"/>
      <c r="F890" s="3"/>
      <c r="G890" s="3"/>
      <c r="H890" s="4"/>
      <c r="I890" s="5"/>
      <c r="J890" s="6"/>
      <c r="K890" s="7"/>
      <c r="L890" s="8"/>
      <c r="M890" s="9"/>
      <c r="N890" s="9"/>
      <c r="O890" s="9"/>
      <c r="P890" s="10"/>
      <c r="Q890" s="11"/>
      <c r="R890" s="11"/>
      <c r="S890" s="11"/>
      <c r="T890" s="11"/>
      <c r="U890" s="11"/>
      <c r="V890" s="11"/>
      <c r="W890" s="11"/>
      <c r="X890" s="11"/>
      <c r="Y890" s="11"/>
      <c r="Z890" s="12"/>
      <c r="AA890" s="12"/>
      <c r="AB890" s="12"/>
      <c r="AC890" s="12"/>
      <c r="AD890" s="12"/>
      <c r="AE890" s="12"/>
      <c r="AF890" s="12"/>
    </row>
    <row r="891" ht="46.5" customHeight="1">
      <c r="A891" s="1"/>
      <c r="B891" s="2"/>
      <c r="C891" s="2"/>
      <c r="D891" s="3"/>
      <c r="E891" s="3"/>
      <c r="F891" s="3"/>
      <c r="G891" s="3"/>
      <c r="H891" s="4"/>
      <c r="I891" s="5"/>
      <c r="J891" s="6"/>
      <c r="K891" s="7"/>
      <c r="L891" s="8"/>
      <c r="M891" s="9"/>
      <c r="N891" s="9"/>
      <c r="O891" s="9"/>
      <c r="P891" s="10"/>
      <c r="Q891" s="11"/>
      <c r="R891" s="11"/>
      <c r="S891" s="11"/>
      <c r="T891" s="11"/>
      <c r="U891" s="11"/>
      <c r="V891" s="11"/>
      <c r="W891" s="11"/>
      <c r="X891" s="11"/>
      <c r="Y891" s="11"/>
      <c r="Z891" s="12"/>
      <c r="AA891" s="12"/>
      <c r="AB891" s="12"/>
      <c r="AC891" s="12"/>
      <c r="AD891" s="12"/>
      <c r="AE891" s="12"/>
      <c r="AF891" s="12"/>
    </row>
    <row r="892" ht="46.5" customHeight="1">
      <c r="A892" s="1"/>
      <c r="B892" s="2"/>
      <c r="C892" s="2"/>
      <c r="D892" s="3"/>
      <c r="E892" s="3"/>
      <c r="F892" s="3"/>
      <c r="G892" s="3"/>
      <c r="H892" s="4"/>
      <c r="I892" s="5"/>
      <c r="J892" s="6"/>
      <c r="K892" s="7"/>
      <c r="L892" s="8"/>
      <c r="M892" s="9"/>
      <c r="N892" s="9"/>
      <c r="O892" s="9"/>
      <c r="P892" s="10"/>
      <c r="Q892" s="11"/>
      <c r="R892" s="11"/>
      <c r="S892" s="11"/>
      <c r="T892" s="11"/>
      <c r="U892" s="11"/>
      <c r="V892" s="11"/>
      <c r="W892" s="11"/>
      <c r="X892" s="11"/>
      <c r="Y892" s="11"/>
      <c r="Z892" s="12"/>
      <c r="AA892" s="12"/>
      <c r="AB892" s="12"/>
      <c r="AC892" s="12"/>
      <c r="AD892" s="12"/>
      <c r="AE892" s="12"/>
      <c r="AF892" s="12"/>
    </row>
    <row r="893" ht="46.5" customHeight="1">
      <c r="A893" s="1"/>
      <c r="B893" s="2"/>
      <c r="C893" s="2"/>
      <c r="D893" s="3"/>
      <c r="E893" s="3"/>
      <c r="F893" s="3"/>
      <c r="G893" s="3"/>
      <c r="H893" s="4"/>
      <c r="I893" s="5"/>
      <c r="J893" s="6"/>
      <c r="K893" s="7"/>
      <c r="L893" s="8"/>
      <c r="M893" s="9"/>
      <c r="N893" s="9"/>
      <c r="O893" s="9"/>
      <c r="P893" s="10"/>
      <c r="Q893" s="11"/>
      <c r="R893" s="11"/>
      <c r="S893" s="11"/>
      <c r="T893" s="11"/>
      <c r="U893" s="11"/>
      <c r="V893" s="11"/>
      <c r="W893" s="11"/>
      <c r="X893" s="11"/>
      <c r="Y893" s="11"/>
      <c r="Z893" s="12"/>
      <c r="AA893" s="12"/>
      <c r="AB893" s="12"/>
      <c r="AC893" s="12"/>
      <c r="AD893" s="12"/>
      <c r="AE893" s="12"/>
      <c r="AF893" s="12"/>
    </row>
    <row r="894" ht="46.5" customHeight="1">
      <c r="A894" s="1"/>
      <c r="B894" s="2"/>
      <c r="C894" s="2"/>
      <c r="D894" s="3"/>
      <c r="E894" s="3"/>
      <c r="F894" s="3"/>
      <c r="G894" s="3"/>
      <c r="H894" s="4"/>
      <c r="I894" s="5"/>
      <c r="J894" s="6"/>
      <c r="K894" s="7"/>
      <c r="L894" s="8"/>
      <c r="M894" s="9"/>
      <c r="N894" s="9"/>
      <c r="O894" s="9"/>
      <c r="P894" s="10"/>
      <c r="Q894" s="11"/>
      <c r="R894" s="11"/>
      <c r="S894" s="11"/>
      <c r="T894" s="11"/>
      <c r="U894" s="11"/>
      <c r="V894" s="11"/>
      <c r="W894" s="11"/>
      <c r="X894" s="11"/>
      <c r="Y894" s="11"/>
      <c r="Z894" s="12"/>
      <c r="AA894" s="12"/>
      <c r="AB894" s="12"/>
      <c r="AC894" s="12"/>
      <c r="AD894" s="12"/>
      <c r="AE894" s="12"/>
      <c r="AF894" s="12"/>
    </row>
    <row r="895" ht="46.5" customHeight="1">
      <c r="A895" s="1"/>
      <c r="B895" s="2"/>
      <c r="C895" s="2"/>
      <c r="D895" s="3"/>
      <c r="E895" s="3"/>
      <c r="F895" s="3"/>
      <c r="G895" s="3"/>
      <c r="H895" s="4"/>
      <c r="I895" s="5"/>
      <c r="J895" s="6"/>
      <c r="K895" s="7"/>
      <c r="L895" s="8"/>
      <c r="M895" s="9"/>
      <c r="N895" s="9"/>
      <c r="O895" s="9"/>
      <c r="P895" s="10"/>
      <c r="Q895" s="11"/>
      <c r="R895" s="11"/>
      <c r="S895" s="11"/>
      <c r="T895" s="11"/>
      <c r="U895" s="11"/>
      <c r="V895" s="11"/>
      <c r="W895" s="11"/>
      <c r="X895" s="11"/>
      <c r="Y895" s="11"/>
      <c r="Z895" s="12"/>
      <c r="AA895" s="12"/>
      <c r="AB895" s="12"/>
      <c r="AC895" s="12"/>
      <c r="AD895" s="12"/>
      <c r="AE895" s="12"/>
      <c r="AF895" s="12"/>
    </row>
    <row r="896" ht="46.5" customHeight="1">
      <c r="A896" s="1"/>
      <c r="B896" s="2"/>
      <c r="C896" s="2"/>
      <c r="D896" s="3"/>
      <c r="E896" s="3"/>
      <c r="F896" s="3"/>
      <c r="G896" s="3"/>
      <c r="H896" s="4"/>
      <c r="I896" s="5"/>
      <c r="J896" s="6"/>
      <c r="K896" s="7"/>
      <c r="L896" s="8"/>
      <c r="M896" s="9"/>
      <c r="N896" s="9"/>
      <c r="O896" s="9"/>
      <c r="P896" s="10"/>
      <c r="Q896" s="11"/>
      <c r="R896" s="11"/>
      <c r="S896" s="11"/>
      <c r="T896" s="11"/>
      <c r="U896" s="11"/>
      <c r="V896" s="11"/>
      <c r="W896" s="11"/>
      <c r="X896" s="11"/>
      <c r="Y896" s="11"/>
      <c r="Z896" s="12"/>
      <c r="AA896" s="12"/>
      <c r="AB896" s="12"/>
      <c r="AC896" s="12"/>
      <c r="AD896" s="12"/>
      <c r="AE896" s="12"/>
      <c r="AF896" s="12"/>
    </row>
    <row r="897" ht="46.5" customHeight="1">
      <c r="A897" s="1"/>
      <c r="B897" s="2"/>
      <c r="C897" s="2"/>
      <c r="D897" s="3"/>
      <c r="E897" s="3"/>
      <c r="F897" s="3"/>
      <c r="G897" s="3"/>
      <c r="H897" s="4"/>
      <c r="I897" s="5"/>
      <c r="J897" s="6"/>
      <c r="K897" s="7"/>
      <c r="L897" s="8"/>
      <c r="M897" s="9"/>
      <c r="N897" s="9"/>
      <c r="O897" s="9"/>
      <c r="P897" s="10"/>
      <c r="Q897" s="11"/>
      <c r="R897" s="11"/>
      <c r="S897" s="11"/>
      <c r="T897" s="11"/>
      <c r="U897" s="11"/>
      <c r="V897" s="11"/>
      <c r="W897" s="11"/>
      <c r="X897" s="11"/>
      <c r="Y897" s="11"/>
      <c r="Z897" s="12"/>
      <c r="AA897" s="12"/>
      <c r="AB897" s="12"/>
      <c r="AC897" s="12"/>
      <c r="AD897" s="12"/>
      <c r="AE897" s="12"/>
      <c r="AF897" s="12"/>
    </row>
    <row r="898" ht="46.5" customHeight="1">
      <c r="A898" s="1"/>
      <c r="B898" s="2"/>
      <c r="C898" s="2"/>
      <c r="D898" s="3"/>
      <c r="E898" s="3"/>
      <c r="F898" s="3"/>
      <c r="G898" s="3"/>
      <c r="H898" s="4"/>
      <c r="I898" s="5"/>
      <c r="J898" s="6"/>
      <c r="K898" s="7"/>
      <c r="L898" s="8"/>
      <c r="M898" s="9"/>
      <c r="N898" s="9"/>
      <c r="O898" s="9"/>
      <c r="P898" s="10"/>
      <c r="Q898" s="11"/>
      <c r="R898" s="11"/>
      <c r="S898" s="11"/>
      <c r="T898" s="11"/>
      <c r="U898" s="11"/>
      <c r="V898" s="11"/>
      <c r="W898" s="11"/>
      <c r="X898" s="11"/>
      <c r="Y898" s="11"/>
      <c r="Z898" s="12"/>
      <c r="AA898" s="12"/>
      <c r="AB898" s="12"/>
      <c r="AC898" s="12"/>
      <c r="AD898" s="12"/>
      <c r="AE898" s="12"/>
      <c r="AF898" s="12"/>
    </row>
    <row r="899" ht="46.5" customHeight="1">
      <c r="A899" s="1"/>
      <c r="B899" s="2"/>
      <c r="C899" s="2"/>
      <c r="D899" s="3"/>
      <c r="E899" s="3"/>
      <c r="F899" s="3"/>
      <c r="G899" s="3"/>
      <c r="H899" s="4"/>
      <c r="I899" s="5"/>
      <c r="J899" s="6"/>
      <c r="K899" s="7"/>
      <c r="L899" s="8"/>
      <c r="M899" s="9"/>
      <c r="N899" s="9"/>
      <c r="O899" s="9"/>
      <c r="P899" s="10"/>
      <c r="Q899" s="11"/>
      <c r="R899" s="11"/>
      <c r="S899" s="11"/>
      <c r="T899" s="11"/>
      <c r="U899" s="11"/>
      <c r="V899" s="11"/>
      <c r="W899" s="11"/>
      <c r="X899" s="11"/>
      <c r="Y899" s="11"/>
      <c r="Z899" s="12"/>
      <c r="AA899" s="12"/>
      <c r="AB899" s="12"/>
      <c r="AC899" s="12"/>
      <c r="AD899" s="12"/>
      <c r="AE899" s="12"/>
      <c r="AF899" s="12"/>
    </row>
    <row r="900" ht="46.5" customHeight="1">
      <c r="A900" s="1"/>
      <c r="B900" s="2"/>
      <c r="C900" s="2"/>
      <c r="D900" s="3"/>
      <c r="E900" s="3"/>
      <c r="F900" s="3"/>
      <c r="G900" s="3"/>
      <c r="H900" s="4"/>
      <c r="I900" s="5"/>
      <c r="J900" s="6"/>
      <c r="K900" s="7"/>
      <c r="L900" s="8"/>
      <c r="M900" s="9"/>
      <c r="N900" s="9"/>
      <c r="O900" s="9"/>
      <c r="P900" s="10"/>
      <c r="Q900" s="11"/>
      <c r="R900" s="11"/>
      <c r="S900" s="11"/>
      <c r="T900" s="11"/>
      <c r="U900" s="11"/>
      <c r="V900" s="11"/>
      <c r="W900" s="11"/>
      <c r="X900" s="11"/>
      <c r="Y900" s="11"/>
      <c r="Z900" s="12"/>
      <c r="AA900" s="12"/>
      <c r="AB900" s="12"/>
      <c r="AC900" s="12"/>
      <c r="AD900" s="12"/>
      <c r="AE900" s="12"/>
      <c r="AF900" s="12"/>
    </row>
    <row r="901" ht="46.5" customHeight="1">
      <c r="A901" s="1"/>
      <c r="B901" s="2"/>
      <c r="C901" s="2"/>
      <c r="D901" s="3"/>
      <c r="E901" s="3"/>
      <c r="F901" s="3"/>
      <c r="G901" s="3"/>
      <c r="H901" s="4"/>
      <c r="I901" s="5"/>
      <c r="J901" s="6"/>
      <c r="K901" s="7"/>
      <c r="L901" s="8"/>
      <c r="M901" s="9"/>
      <c r="N901" s="9"/>
      <c r="O901" s="9"/>
      <c r="P901" s="10"/>
      <c r="Q901" s="11"/>
      <c r="R901" s="11"/>
      <c r="S901" s="11"/>
      <c r="T901" s="11"/>
      <c r="U901" s="11"/>
      <c r="V901" s="11"/>
      <c r="W901" s="11"/>
      <c r="X901" s="11"/>
      <c r="Y901" s="11"/>
      <c r="Z901" s="12"/>
      <c r="AA901" s="12"/>
      <c r="AB901" s="12"/>
      <c r="AC901" s="12"/>
      <c r="AD901" s="12"/>
      <c r="AE901" s="12"/>
      <c r="AF901" s="12"/>
    </row>
    <row r="902" ht="46.5" customHeight="1">
      <c r="A902" s="1"/>
      <c r="B902" s="2"/>
      <c r="C902" s="2"/>
      <c r="D902" s="3"/>
      <c r="E902" s="3"/>
      <c r="F902" s="3"/>
      <c r="G902" s="3"/>
      <c r="H902" s="4"/>
      <c r="I902" s="5"/>
      <c r="J902" s="6"/>
      <c r="K902" s="7"/>
      <c r="L902" s="8"/>
      <c r="M902" s="9"/>
      <c r="N902" s="9"/>
      <c r="O902" s="9"/>
      <c r="P902" s="10"/>
      <c r="Q902" s="11"/>
      <c r="R902" s="11"/>
      <c r="S902" s="11"/>
      <c r="T902" s="11"/>
      <c r="U902" s="11"/>
      <c r="V902" s="11"/>
      <c r="W902" s="11"/>
      <c r="X902" s="11"/>
      <c r="Y902" s="11"/>
      <c r="Z902" s="12"/>
      <c r="AA902" s="12"/>
      <c r="AB902" s="12"/>
      <c r="AC902" s="12"/>
      <c r="AD902" s="12"/>
      <c r="AE902" s="12"/>
      <c r="AF902" s="12"/>
    </row>
    <row r="903" ht="46.5" customHeight="1">
      <c r="A903" s="1"/>
      <c r="B903" s="2"/>
      <c r="C903" s="2"/>
      <c r="D903" s="3"/>
      <c r="E903" s="3"/>
      <c r="F903" s="3"/>
      <c r="G903" s="3"/>
      <c r="H903" s="4"/>
      <c r="I903" s="5"/>
      <c r="J903" s="6"/>
      <c r="K903" s="7"/>
      <c r="L903" s="8"/>
      <c r="M903" s="9"/>
      <c r="N903" s="9"/>
      <c r="O903" s="9"/>
      <c r="P903" s="10"/>
      <c r="Q903" s="11"/>
      <c r="R903" s="11"/>
      <c r="S903" s="11"/>
      <c r="T903" s="11"/>
      <c r="U903" s="11"/>
      <c r="V903" s="11"/>
      <c r="W903" s="11"/>
      <c r="X903" s="11"/>
      <c r="Y903" s="11"/>
      <c r="Z903" s="12"/>
      <c r="AA903" s="12"/>
      <c r="AB903" s="12"/>
      <c r="AC903" s="12"/>
      <c r="AD903" s="12"/>
      <c r="AE903" s="12"/>
      <c r="AF903" s="12"/>
    </row>
    <row r="904" ht="46.5" customHeight="1">
      <c r="A904" s="1"/>
      <c r="B904" s="2"/>
      <c r="C904" s="2"/>
      <c r="D904" s="3"/>
      <c r="E904" s="3"/>
      <c r="F904" s="3"/>
      <c r="G904" s="3"/>
      <c r="H904" s="4"/>
      <c r="I904" s="5"/>
      <c r="J904" s="6"/>
      <c r="K904" s="7"/>
      <c r="L904" s="8"/>
      <c r="M904" s="9"/>
      <c r="N904" s="9"/>
      <c r="O904" s="9"/>
      <c r="P904" s="10"/>
      <c r="Q904" s="11"/>
      <c r="R904" s="11"/>
      <c r="S904" s="11"/>
      <c r="T904" s="11"/>
      <c r="U904" s="11"/>
      <c r="V904" s="11"/>
      <c r="W904" s="11"/>
      <c r="X904" s="11"/>
      <c r="Y904" s="11"/>
      <c r="Z904" s="12"/>
      <c r="AA904" s="12"/>
      <c r="AB904" s="12"/>
      <c r="AC904" s="12"/>
      <c r="AD904" s="12"/>
      <c r="AE904" s="12"/>
      <c r="AF904" s="12"/>
    </row>
    <row r="905" ht="46.5" customHeight="1">
      <c r="A905" s="1"/>
      <c r="B905" s="2"/>
      <c r="C905" s="2"/>
      <c r="D905" s="3"/>
      <c r="E905" s="3"/>
      <c r="F905" s="3"/>
      <c r="G905" s="3"/>
      <c r="H905" s="4"/>
      <c r="I905" s="5"/>
      <c r="J905" s="6"/>
      <c r="K905" s="7"/>
      <c r="L905" s="8"/>
      <c r="M905" s="9"/>
      <c r="N905" s="9"/>
      <c r="O905" s="9"/>
      <c r="P905" s="10"/>
      <c r="Q905" s="11"/>
      <c r="R905" s="11"/>
      <c r="S905" s="11"/>
      <c r="T905" s="11"/>
      <c r="U905" s="11"/>
      <c r="V905" s="11"/>
      <c r="W905" s="11"/>
      <c r="X905" s="11"/>
      <c r="Y905" s="11"/>
      <c r="Z905" s="12"/>
      <c r="AA905" s="12"/>
      <c r="AB905" s="12"/>
      <c r="AC905" s="12"/>
      <c r="AD905" s="12"/>
      <c r="AE905" s="12"/>
      <c r="AF905" s="12"/>
    </row>
    <row r="906" ht="46.5" customHeight="1">
      <c r="A906" s="1"/>
      <c r="B906" s="2"/>
      <c r="C906" s="2"/>
      <c r="D906" s="3"/>
      <c r="E906" s="3"/>
      <c r="F906" s="3"/>
      <c r="G906" s="3"/>
      <c r="H906" s="4"/>
      <c r="I906" s="5"/>
      <c r="J906" s="6"/>
      <c r="K906" s="7"/>
      <c r="L906" s="8"/>
      <c r="M906" s="9"/>
      <c r="N906" s="9"/>
      <c r="O906" s="9"/>
      <c r="P906" s="10"/>
      <c r="Q906" s="11"/>
      <c r="R906" s="11"/>
      <c r="S906" s="11"/>
      <c r="T906" s="11"/>
      <c r="U906" s="11"/>
      <c r="V906" s="11"/>
      <c r="W906" s="11"/>
      <c r="X906" s="11"/>
      <c r="Y906" s="11"/>
      <c r="Z906" s="12"/>
      <c r="AA906" s="12"/>
      <c r="AB906" s="12"/>
      <c r="AC906" s="12"/>
      <c r="AD906" s="12"/>
      <c r="AE906" s="12"/>
      <c r="AF906" s="12"/>
    </row>
    <row r="907" ht="46.5" customHeight="1">
      <c r="A907" s="1"/>
      <c r="B907" s="2"/>
      <c r="C907" s="2"/>
      <c r="D907" s="3"/>
      <c r="E907" s="3"/>
      <c r="F907" s="3"/>
      <c r="G907" s="3"/>
      <c r="H907" s="4"/>
      <c r="I907" s="5"/>
      <c r="J907" s="6"/>
      <c r="K907" s="7"/>
      <c r="L907" s="8"/>
      <c r="M907" s="9"/>
      <c r="N907" s="9"/>
      <c r="O907" s="9"/>
      <c r="P907" s="10"/>
      <c r="Q907" s="11"/>
      <c r="R907" s="11"/>
      <c r="S907" s="11"/>
      <c r="T907" s="11"/>
      <c r="U907" s="11"/>
      <c r="V907" s="11"/>
      <c r="W907" s="11"/>
      <c r="X907" s="11"/>
      <c r="Y907" s="11"/>
      <c r="Z907" s="12"/>
      <c r="AA907" s="12"/>
      <c r="AB907" s="12"/>
      <c r="AC907" s="12"/>
      <c r="AD907" s="12"/>
      <c r="AE907" s="12"/>
      <c r="AF907" s="12"/>
    </row>
    <row r="908" ht="46.5" customHeight="1">
      <c r="A908" s="1"/>
      <c r="B908" s="2"/>
      <c r="C908" s="2"/>
      <c r="D908" s="3"/>
      <c r="E908" s="3"/>
      <c r="F908" s="3"/>
      <c r="G908" s="3"/>
      <c r="H908" s="4"/>
      <c r="I908" s="5"/>
      <c r="J908" s="6"/>
      <c r="K908" s="7"/>
      <c r="L908" s="8"/>
      <c r="M908" s="9"/>
      <c r="N908" s="9"/>
      <c r="O908" s="9"/>
      <c r="P908" s="10"/>
      <c r="Q908" s="11"/>
      <c r="R908" s="11"/>
      <c r="S908" s="11"/>
      <c r="T908" s="11"/>
      <c r="U908" s="11"/>
      <c r="V908" s="11"/>
      <c r="W908" s="11"/>
      <c r="X908" s="11"/>
      <c r="Y908" s="11"/>
      <c r="Z908" s="12"/>
      <c r="AA908" s="12"/>
      <c r="AB908" s="12"/>
      <c r="AC908" s="12"/>
      <c r="AD908" s="12"/>
      <c r="AE908" s="12"/>
      <c r="AF908" s="12"/>
    </row>
    <row r="909" ht="46.5" customHeight="1">
      <c r="A909" s="1"/>
      <c r="B909" s="2"/>
      <c r="C909" s="2"/>
      <c r="D909" s="3"/>
      <c r="E909" s="3"/>
      <c r="F909" s="3"/>
      <c r="G909" s="3"/>
      <c r="H909" s="4"/>
      <c r="I909" s="5"/>
      <c r="J909" s="6"/>
      <c r="K909" s="7"/>
      <c r="L909" s="8"/>
      <c r="M909" s="9"/>
      <c r="N909" s="9"/>
      <c r="O909" s="9"/>
      <c r="P909" s="10"/>
      <c r="Q909" s="11"/>
      <c r="R909" s="11"/>
      <c r="S909" s="11"/>
      <c r="T909" s="11"/>
      <c r="U909" s="11"/>
      <c r="V909" s="11"/>
      <c r="W909" s="11"/>
      <c r="X909" s="11"/>
      <c r="Y909" s="11"/>
      <c r="Z909" s="12"/>
      <c r="AA909" s="12"/>
      <c r="AB909" s="12"/>
      <c r="AC909" s="12"/>
      <c r="AD909" s="12"/>
      <c r="AE909" s="12"/>
      <c r="AF909" s="12"/>
    </row>
    <row r="910" ht="46.5" customHeight="1">
      <c r="A910" s="1"/>
      <c r="B910" s="2"/>
      <c r="C910" s="2"/>
      <c r="D910" s="3"/>
      <c r="E910" s="3"/>
      <c r="F910" s="3"/>
      <c r="G910" s="3"/>
      <c r="H910" s="4"/>
      <c r="I910" s="5"/>
      <c r="J910" s="6"/>
      <c r="K910" s="7"/>
      <c r="L910" s="8"/>
      <c r="M910" s="9"/>
      <c r="N910" s="9"/>
      <c r="O910" s="9"/>
      <c r="P910" s="10"/>
      <c r="Q910" s="11"/>
      <c r="R910" s="11"/>
      <c r="S910" s="11"/>
      <c r="T910" s="11"/>
      <c r="U910" s="11"/>
      <c r="V910" s="11"/>
      <c r="W910" s="11"/>
      <c r="X910" s="11"/>
      <c r="Y910" s="11"/>
      <c r="Z910" s="12"/>
      <c r="AA910" s="12"/>
      <c r="AB910" s="12"/>
      <c r="AC910" s="12"/>
      <c r="AD910" s="12"/>
      <c r="AE910" s="12"/>
      <c r="AF910" s="12"/>
    </row>
    <row r="911" ht="46.5" customHeight="1">
      <c r="A911" s="1"/>
      <c r="B911" s="2"/>
      <c r="C911" s="2"/>
      <c r="D911" s="3"/>
      <c r="E911" s="3"/>
      <c r="F911" s="3"/>
      <c r="G911" s="3"/>
      <c r="H911" s="4"/>
      <c r="I911" s="5"/>
      <c r="J911" s="6"/>
      <c r="K911" s="7"/>
      <c r="L911" s="8"/>
      <c r="M911" s="9"/>
      <c r="N911" s="9"/>
      <c r="O911" s="9"/>
      <c r="P911" s="10"/>
      <c r="Q911" s="11"/>
      <c r="R911" s="11"/>
      <c r="S911" s="11"/>
      <c r="T911" s="11"/>
      <c r="U911" s="11"/>
      <c r="V911" s="11"/>
      <c r="W911" s="11"/>
      <c r="X911" s="11"/>
      <c r="Y911" s="11"/>
      <c r="Z911" s="12"/>
      <c r="AA911" s="12"/>
      <c r="AB911" s="12"/>
      <c r="AC911" s="12"/>
      <c r="AD911" s="12"/>
      <c r="AE911" s="12"/>
      <c r="AF911" s="12"/>
    </row>
    <row r="912" ht="46.5" customHeight="1">
      <c r="A912" s="1"/>
      <c r="B912" s="2"/>
      <c r="C912" s="2"/>
      <c r="D912" s="3"/>
      <c r="E912" s="3"/>
      <c r="F912" s="3"/>
      <c r="G912" s="3"/>
      <c r="H912" s="4"/>
      <c r="I912" s="5"/>
      <c r="J912" s="6"/>
      <c r="K912" s="7"/>
      <c r="L912" s="8"/>
      <c r="M912" s="9"/>
      <c r="N912" s="9"/>
      <c r="O912" s="9"/>
      <c r="P912" s="10"/>
      <c r="Q912" s="11"/>
      <c r="R912" s="11"/>
      <c r="S912" s="11"/>
      <c r="T912" s="11"/>
      <c r="U912" s="11"/>
      <c r="V912" s="11"/>
      <c r="W912" s="11"/>
      <c r="X912" s="11"/>
      <c r="Y912" s="11"/>
      <c r="Z912" s="12"/>
      <c r="AA912" s="12"/>
      <c r="AB912" s="12"/>
      <c r="AC912" s="12"/>
      <c r="AD912" s="12"/>
      <c r="AE912" s="12"/>
      <c r="AF912" s="12"/>
    </row>
    <row r="913" ht="46.5" customHeight="1">
      <c r="A913" s="1"/>
      <c r="B913" s="2"/>
      <c r="C913" s="2"/>
      <c r="D913" s="3"/>
      <c r="E913" s="3"/>
      <c r="F913" s="3"/>
      <c r="G913" s="3"/>
      <c r="H913" s="4"/>
      <c r="I913" s="5"/>
      <c r="J913" s="6"/>
      <c r="K913" s="7"/>
      <c r="L913" s="8"/>
      <c r="M913" s="9"/>
      <c r="N913" s="9"/>
      <c r="O913" s="9"/>
      <c r="P913" s="10"/>
      <c r="Q913" s="11"/>
      <c r="R913" s="11"/>
      <c r="S913" s="11"/>
      <c r="T913" s="11"/>
      <c r="U913" s="11"/>
      <c r="V913" s="11"/>
      <c r="W913" s="11"/>
      <c r="X913" s="11"/>
      <c r="Y913" s="11"/>
      <c r="Z913" s="12"/>
      <c r="AA913" s="12"/>
      <c r="AB913" s="12"/>
      <c r="AC913" s="12"/>
      <c r="AD913" s="12"/>
      <c r="AE913" s="12"/>
      <c r="AF913" s="12"/>
    </row>
    <row r="914" ht="46.5" customHeight="1">
      <c r="A914" s="1"/>
      <c r="B914" s="2"/>
      <c r="C914" s="2"/>
      <c r="D914" s="3"/>
      <c r="E914" s="3"/>
      <c r="F914" s="3"/>
      <c r="G914" s="3"/>
      <c r="H914" s="4"/>
      <c r="I914" s="5"/>
      <c r="J914" s="6"/>
      <c r="K914" s="7"/>
      <c r="L914" s="8"/>
      <c r="M914" s="9"/>
      <c r="N914" s="9"/>
      <c r="O914" s="9"/>
      <c r="P914" s="10"/>
      <c r="Q914" s="11"/>
      <c r="R914" s="11"/>
      <c r="S914" s="11"/>
      <c r="T914" s="11"/>
      <c r="U914" s="11"/>
      <c r="V914" s="11"/>
      <c r="W914" s="11"/>
      <c r="X914" s="11"/>
      <c r="Y914" s="11"/>
      <c r="Z914" s="12"/>
      <c r="AA914" s="12"/>
      <c r="AB914" s="12"/>
      <c r="AC914" s="12"/>
      <c r="AD914" s="12"/>
      <c r="AE914" s="12"/>
      <c r="AF914" s="12"/>
    </row>
    <row r="915" ht="46.5" customHeight="1">
      <c r="A915" s="1"/>
      <c r="B915" s="2"/>
      <c r="C915" s="2"/>
      <c r="D915" s="3"/>
      <c r="E915" s="3"/>
      <c r="F915" s="3"/>
      <c r="G915" s="3"/>
      <c r="H915" s="4"/>
      <c r="I915" s="5"/>
      <c r="J915" s="6"/>
      <c r="K915" s="7"/>
      <c r="L915" s="8"/>
      <c r="M915" s="9"/>
      <c r="N915" s="9"/>
      <c r="O915" s="9"/>
      <c r="P915" s="10"/>
      <c r="Q915" s="11"/>
      <c r="R915" s="11"/>
      <c r="S915" s="11"/>
      <c r="T915" s="11"/>
      <c r="U915" s="11"/>
      <c r="V915" s="11"/>
      <c r="W915" s="11"/>
      <c r="X915" s="11"/>
      <c r="Y915" s="11"/>
      <c r="Z915" s="12"/>
      <c r="AA915" s="12"/>
      <c r="AB915" s="12"/>
      <c r="AC915" s="12"/>
      <c r="AD915" s="12"/>
      <c r="AE915" s="12"/>
      <c r="AF915" s="12"/>
    </row>
    <row r="916" ht="46.5" customHeight="1">
      <c r="A916" s="1"/>
      <c r="B916" s="2"/>
      <c r="C916" s="2"/>
      <c r="D916" s="3"/>
      <c r="E916" s="3"/>
      <c r="F916" s="3"/>
      <c r="G916" s="3"/>
      <c r="H916" s="4"/>
      <c r="I916" s="5"/>
      <c r="J916" s="6"/>
      <c r="K916" s="7"/>
      <c r="L916" s="8"/>
      <c r="M916" s="9"/>
      <c r="N916" s="9"/>
      <c r="O916" s="9"/>
      <c r="P916" s="10"/>
      <c r="Q916" s="11"/>
      <c r="R916" s="11"/>
      <c r="S916" s="11"/>
      <c r="T916" s="11"/>
      <c r="U916" s="11"/>
      <c r="V916" s="11"/>
      <c r="W916" s="11"/>
      <c r="X916" s="11"/>
      <c r="Y916" s="11"/>
      <c r="Z916" s="12"/>
      <c r="AA916" s="12"/>
      <c r="AB916" s="12"/>
      <c r="AC916" s="12"/>
      <c r="AD916" s="12"/>
      <c r="AE916" s="12"/>
      <c r="AF916" s="12"/>
    </row>
    <row r="917" ht="46.5" customHeight="1">
      <c r="A917" s="1"/>
      <c r="B917" s="2"/>
      <c r="C917" s="2"/>
      <c r="D917" s="3"/>
      <c r="E917" s="3"/>
      <c r="F917" s="3"/>
      <c r="G917" s="3"/>
      <c r="H917" s="4"/>
      <c r="I917" s="5"/>
      <c r="J917" s="6"/>
      <c r="K917" s="7"/>
      <c r="L917" s="8"/>
      <c r="M917" s="9"/>
      <c r="N917" s="9"/>
      <c r="O917" s="9"/>
      <c r="P917" s="10"/>
      <c r="Q917" s="11"/>
      <c r="R917" s="11"/>
      <c r="S917" s="11"/>
      <c r="T917" s="11"/>
      <c r="U917" s="11"/>
      <c r="V917" s="11"/>
      <c r="W917" s="11"/>
      <c r="X917" s="11"/>
      <c r="Y917" s="11"/>
      <c r="Z917" s="12"/>
      <c r="AA917" s="12"/>
      <c r="AB917" s="12"/>
      <c r="AC917" s="12"/>
      <c r="AD917" s="12"/>
      <c r="AE917" s="12"/>
      <c r="AF917" s="12"/>
    </row>
    <row r="918" ht="46.5" customHeight="1">
      <c r="A918" s="1"/>
      <c r="B918" s="2"/>
      <c r="C918" s="2"/>
      <c r="D918" s="3"/>
      <c r="E918" s="3"/>
      <c r="F918" s="3"/>
      <c r="G918" s="3"/>
      <c r="H918" s="4"/>
      <c r="I918" s="5"/>
      <c r="J918" s="6"/>
      <c r="K918" s="7"/>
      <c r="L918" s="8"/>
      <c r="M918" s="9"/>
      <c r="N918" s="9"/>
      <c r="O918" s="9"/>
      <c r="P918" s="10"/>
      <c r="Q918" s="11"/>
      <c r="R918" s="11"/>
      <c r="S918" s="11"/>
      <c r="T918" s="11"/>
      <c r="U918" s="11"/>
      <c r="V918" s="11"/>
      <c r="W918" s="11"/>
      <c r="X918" s="11"/>
      <c r="Y918" s="11"/>
      <c r="Z918" s="12"/>
      <c r="AA918" s="12"/>
      <c r="AB918" s="12"/>
      <c r="AC918" s="12"/>
      <c r="AD918" s="12"/>
      <c r="AE918" s="12"/>
      <c r="AF918" s="12"/>
    </row>
    <row r="919" ht="46.5" customHeight="1">
      <c r="A919" s="1"/>
      <c r="B919" s="2"/>
      <c r="C919" s="2"/>
      <c r="D919" s="3"/>
      <c r="E919" s="3"/>
      <c r="F919" s="3"/>
      <c r="G919" s="3"/>
      <c r="H919" s="4"/>
      <c r="I919" s="5"/>
      <c r="J919" s="6"/>
      <c r="K919" s="7"/>
      <c r="L919" s="8"/>
      <c r="M919" s="9"/>
      <c r="N919" s="9"/>
      <c r="O919" s="9"/>
      <c r="P919" s="10"/>
      <c r="Q919" s="11"/>
      <c r="R919" s="11"/>
      <c r="S919" s="11"/>
      <c r="T919" s="11"/>
      <c r="U919" s="11"/>
      <c r="V919" s="11"/>
      <c r="W919" s="11"/>
      <c r="X919" s="11"/>
      <c r="Y919" s="11"/>
      <c r="Z919" s="12"/>
      <c r="AA919" s="12"/>
      <c r="AB919" s="12"/>
      <c r="AC919" s="12"/>
      <c r="AD919" s="12"/>
      <c r="AE919" s="12"/>
      <c r="AF919" s="12"/>
    </row>
    <row r="920" ht="46.5" customHeight="1">
      <c r="A920" s="1"/>
      <c r="B920" s="2"/>
      <c r="C920" s="2"/>
      <c r="D920" s="3"/>
      <c r="E920" s="3"/>
      <c r="F920" s="3"/>
      <c r="G920" s="3"/>
      <c r="H920" s="4"/>
      <c r="I920" s="5"/>
      <c r="J920" s="6"/>
      <c r="K920" s="7"/>
      <c r="L920" s="8"/>
      <c r="M920" s="9"/>
      <c r="N920" s="9"/>
      <c r="O920" s="9"/>
      <c r="P920" s="10"/>
      <c r="Q920" s="11"/>
      <c r="R920" s="11"/>
      <c r="S920" s="11"/>
      <c r="T920" s="11"/>
      <c r="U920" s="11"/>
      <c r="V920" s="11"/>
      <c r="W920" s="11"/>
      <c r="X920" s="11"/>
      <c r="Y920" s="11"/>
      <c r="Z920" s="12"/>
      <c r="AA920" s="12"/>
      <c r="AB920" s="12"/>
      <c r="AC920" s="12"/>
      <c r="AD920" s="12"/>
      <c r="AE920" s="12"/>
      <c r="AF920" s="12"/>
    </row>
    <row r="921" ht="46.5" customHeight="1">
      <c r="A921" s="1"/>
      <c r="B921" s="2"/>
      <c r="C921" s="2"/>
      <c r="D921" s="3"/>
      <c r="E921" s="3"/>
      <c r="F921" s="3"/>
      <c r="G921" s="3"/>
      <c r="H921" s="4"/>
      <c r="I921" s="5"/>
      <c r="J921" s="6"/>
      <c r="K921" s="7"/>
      <c r="L921" s="8"/>
      <c r="M921" s="9"/>
      <c r="N921" s="9"/>
      <c r="O921" s="9"/>
      <c r="P921" s="10"/>
      <c r="Q921" s="11"/>
      <c r="R921" s="11"/>
      <c r="S921" s="11"/>
      <c r="T921" s="11"/>
      <c r="U921" s="11"/>
      <c r="V921" s="11"/>
      <c r="W921" s="11"/>
      <c r="X921" s="11"/>
      <c r="Y921" s="11"/>
      <c r="Z921" s="12"/>
      <c r="AA921" s="12"/>
      <c r="AB921" s="12"/>
      <c r="AC921" s="12"/>
      <c r="AD921" s="12"/>
      <c r="AE921" s="12"/>
      <c r="AF921" s="12"/>
    </row>
    <row r="922" ht="46.5" customHeight="1">
      <c r="A922" s="1"/>
      <c r="B922" s="2"/>
      <c r="C922" s="2"/>
      <c r="D922" s="3"/>
      <c r="E922" s="3"/>
      <c r="F922" s="3"/>
      <c r="G922" s="3"/>
      <c r="H922" s="4"/>
      <c r="I922" s="5"/>
      <c r="J922" s="6"/>
      <c r="K922" s="7"/>
      <c r="L922" s="8"/>
      <c r="M922" s="9"/>
      <c r="N922" s="9"/>
      <c r="O922" s="9"/>
      <c r="P922" s="10"/>
      <c r="Q922" s="11"/>
      <c r="R922" s="11"/>
      <c r="S922" s="11"/>
      <c r="T922" s="11"/>
      <c r="U922" s="11"/>
      <c r="V922" s="11"/>
      <c r="W922" s="11"/>
      <c r="X922" s="11"/>
      <c r="Y922" s="11"/>
      <c r="Z922" s="12"/>
      <c r="AA922" s="12"/>
      <c r="AB922" s="12"/>
      <c r="AC922" s="12"/>
      <c r="AD922" s="12"/>
      <c r="AE922" s="12"/>
      <c r="AF922" s="12"/>
    </row>
    <row r="923" ht="46.5" customHeight="1">
      <c r="A923" s="1"/>
      <c r="B923" s="2"/>
      <c r="C923" s="2"/>
      <c r="D923" s="3"/>
      <c r="E923" s="3"/>
      <c r="F923" s="3"/>
      <c r="G923" s="3"/>
      <c r="H923" s="4"/>
      <c r="I923" s="5"/>
      <c r="J923" s="6"/>
      <c r="K923" s="7"/>
      <c r="L923" s="8"/>
      <c r="M923" s="9"/>
      <c r="N923" s="9"/>
      <c r="O923" s="9"/>
      <c r="P923" s="10"/>
      <c r="Q923" s="11"/>
      <c r="R923" s="11"/>
      <c r="S923" s="11"/>
      <c r="T923" s="11"/>
      <c r="U923" s="11"/>
      <c r="V923" s="11"/>
      <c r="W923" s="11"/>
      <c r="X923" s="11"/>
      <c r="Y923" s="11"/>
      <c r="Z923" s="12"/>
      <c r="AA923" s="12"/>
      <c r="AB923" s="12"/>
      <c r="AC923" s="12"/>
      <c r="AD923" s="12"/>
      <c r="AE923" s="12"/>
      <c r="AF923" s="12"/>
    </row>
    <row r="924" ht="46.5" customHeight="1">
      <c r="A924" s="1"/>
      <c r="B924" s="2"/>
      <c r="C924" s="2"/>
      <c r="D924" s="3"/>
      <c r="E924" s="3"/>
      <c r="F924" s="3"/>
      <c r="G924" s="3"/>
      <c r="H924" s="4"/>
      <c r="I924" s="5"/>
      <c r="J924" s="6"/>
      <c r="K924" s="7"/>
      <c r="L924" s="8"/>
      <c r="M924" s="9"/>
      <c r="N924" s="9"/>
      <c r="O924" s="9"/>
      <c r="P924" s="10"/>
      <c r="Q924" s="11"/>
      <c r="R924" s="11"/>
      <c r="S924" s="11"/>
      <c r="T924" s="11"/>
      <c r="U924" s="11"/>
      <c r="V924" s="11"/>
      <c r="W924" s="11"/>
      <c r="X924" s="11"/>
      <c r="Y924" s="11"/>
      <c r="Z924" s="12"/>
      <c r="AA924" s="12"/>
      <c r="AB924" s="12"/>
      <c r="AC924" s="12"/>
      <c r="AD924" s="12"/>
      <c r="AE924" s="12"/>
      <c r="AF924" s="12"/>
    </row>
    <row r="925" ht="46.5" customHeight="1">
      <c r="A925" s="1"/>
      <c r="B925" s="2"/>
      <c r="C925" s="2"/>
      <c r="D925" s="3"/>
      <c r="E925" s="3"/>
      <c r="F925" s="3"/>
      <c r="G925" s="3"/>
      <c r="H925" s="4"/>
      <c r="I925" s="5"/>
      <c r="J925" s="6"/>
      <c r="K925" s="7"/>
      <c r="L925" s="8"/>
      <c r="M925" s="9"/>
      <c r="N925" s="9"/>
      <c r="O925" s="9"/>
      <c r="P925" s="10"/>
      <c r="Q925" s="11"/>
      <c r="R925" s="11"/>
      <c r="S925" s="11"/>
      <c r="T925" s="11"/>
      <c r="U925" s="11"/>
      <c r="V925" s="11"/>
      <c r="W925" s="11"/>
      <c r="X925" s="11"/>
      <c r="Y925" s="11"/>
      <c r="Z925" s="12"/>
      <c r="AA925" s="12"/>
      <c r="AB925" s="12"/>
      <c r="AC925" s="12"/>
      <c r="AD925" s="12"/>
      <c r="AE925" s="12"/>
      <c r="AF925" s="12"/>
    </row>
    <row r="926" ht="46.5" customHeight="1">
      <c r="A926" s="1"/>
      <c r="B926" s="2"/>
      <c r="C926" s="2"/>
      <c r="D926" s="3"/>
      <c r="E926" s="3"/>
      <c r="F926" s="3"/>
      <c r="G926" s="3"/>
      <c r="H926" s="4"/>
      <c r="I926" s="5"/>
      <c r="J926" s="6"/>
      <c r="K926" s="7"/>
      <c r="L926" s="8"/>
      <c r="M926" s="9"/>
      <c r="N926" s="9"/>
      <c r="O926" s="9"/>
      <c r="P926" s="10"/>
      <c r="Q926" s="11"/>
      <c r="R926" s="11"/>
      <c r="S926" s="11"/>
      <c r="T926" s="11"/>
      <c r="U926" s="11"/>
      <c r="V926" s="11"/>
      <c r="W926" s="11"/>
      <c r="X926" s="11"/>
      <c r="Y926" s="11"/>
      <c r="Z926" s="12"/>
      <c r="AA926" s="12"/>
      <c r="AB926" s="12"/>
      <c r="AC926" s="12"/>
      <c r="AD926" s="12"/>
      <c r="AE926" s="12"/>
      <c r="AF926" s="12"/>
    </row>
    <row r="927" ht="46.5" customHeight="1">
      <c r="A927" s="1"/>
      <c r="B927" s="2"/>
      <c r="C927" s="2"/>
      <c r="D927" s="3"/>
      <c r="E927" s="3"/>
      <c r="F927" s="3"/>
      <c r="G927" s="3"/>
      <c r="H927" s="4"/>
      <c r="I927" s="5"/>
      <c r="J927" s="6"/>
      <c r="K927" s="7"/>
      <c r="L927" s="8"/>
      <c r="M927" s="9"/>
      <c r="N927" s="9"/>
      <c r="O927" s="9"/>
      <c r="P927" s="10"/>
      <c r="Q927" s="11"/>
      <c r="R927" s="11"/>
      <c r="S927" s="11"/>
      <c r="T927" s="11"/>
      <c r="U927" s="11"/>
      <c r="V927" s="11"/>
      <c r="W927" s="11"/>
      <c r="X927" s="11"/>
      <c r="Y927" s="11"/>
      <c r="Z927" s="12"/>
      <c r="AA927" s="12"/>
      <c r="AB927" s="12"/>
      <c r="AC927" s="12"/>
      <c r="AD927" s="12"/>
      <c r="AE927" s="12"/>
      <c r="AF927" s="12"/>
    </row>
    <row r="928" ht="46.5" customHeight="1">
      <c r="A928" s="1"/>
      <c r="B928" s="2"/>
      <c r="C928" s="2"/>
      <c r="D928" s="3"/>
      <c r="E928" s="3"/>
      <c r="F928" s="3"/>
      <c r="G928" s="3"/>
      <c r="H928" s="4"/>
      <c r="I928" s="5"/>
      <c r="J928" s="6"/>
      <c r="K928" s="7"/>
      <c r="L928" s="8"/>
      <c r="M928" s="9"/>
      <c r="N928" s="9"/>
      <c r="O928" s="9"/>
      <c r="P928" s="10"/>
      <c r="Q928" s="11"/>
      <c r="R928" s="11"/>
      <c r="S928" s="11"/>
      <c r="T928" s="11"/>
      <c r="U928" s="11"/>
      <c r="V928" s="11"/>
      <c r="W928" s="11"/>
      <c r="X928" s="11"/>
      <c r="Y928" s="11"/>
      <c r="Z928" s="12"/>
      <c r="AA928" s="12"/>
      <c r="AB928" s="12"/>
      <c r="AC928" s="12"/>
      <c r="AD928" s="12"/>
      <c r="AE928" s="12"/>
      <c r="AF928" s="12"/>
    </row>
    <row r="929" ht="46.5" customHeight="1">
      <c r="A929" s="1"/>
      <c r="B929" s="2"/>
      <c r="C929" s="2"/>
      <c r="D929" s="3"/>
      <c r="E929" s="3"/>
      <c r="F929" s="3"/>
      <c r="G929" s="3"/>
      <c r="H929" s="4"/>
      <c r="I929" s="5"/>
      <c r="J929" s="6"/>
      <c r="K929" s="7"/>
      <c r="L929" s="8"/>
      <c r="M929" s="9"/>
      <c r="N929" s="9"/>
      <c r="O929" s="9"/>
      <c r="P929" s="10"/>
      <c r="Q929" s="11"/>
      <c r="R929" s="11"/>
      <c r="S929" s="11"/>
      <c r="T929" s="11"/>
      <c r="U929" s="11"/>
      <c r="V929" s="11"/>
      <c r="W929" s="11"/>
      <c r="X929" s="11"/>
      <c r="Y929" s="11"/>
      <c r="Z929" s="12"/>
      <c r="AA929" s="12"/>
      <c r="AB929" s="12"/>
      <c r="AC929" s="12"/>
      <c r="AD929" s="12"/>
      <c r="AE929" s="12"/>
      <c r="AF929" s="12"/>
    </row>
    <row r="930" ht="46.5" customHeight="1">
      <c r="A930" s="1"/>
      <c r="B930" s="2"/>
      <c r="C930" s="2"/>
      <c r="D930" s="3"/>
      <c r="E930" s="3"/>
      <c r="F930" s="3"/>
      <c r="G930" s="3"/>
      <c r="H930" s="4"/>
      <c r="I930" s="5"/>
      <c r="J930" s="6"/>
      <c r="K930" s="7"/>
      <c r="L930" s="8"/>
      <c r="M930" s="9"/>
      <c r="N930" s="9"/>
      <c r="O930" s="9"/>
      <c r="P930" s="10"/>
      <c r="Q930" s="11"/>
      <c r="R930" s="11"/>
      <c r="S930" s="11"/>
      <c r="T930" s="11"/>
      <c r="U930" s="11"/>
      <c r="V930" s="11"/>
      <c r="W930" s="11"/>
      <c r="X930" s="11"/>
      <c r="Y930" s="11"/>
      <c r="Z930" s="12"/>
      <c r="AA930" s="12"/>
      <c r="AB930" s="12"/>
      <c r="AC930" s="12"/>
      <c r="AD930" s="12"/>
      <c r="AE930" s="12"/>
      <c r="AF930" s="12"/>
    </row>
    <row r="931" ht="46.5" customHeight="1">
      <c r="A931" s="1"/>
      <c r="B931" s="2"/>
      <c r="C931" s="2"/>
      <c r="D931" s="3"/>
      <c r="E931" s="3"/>
      <c r="F931" s="3"/>
      <c r="G931" s="3"/>
      <c r="H931" s="4"/>
      <c r="I931" s="5"/>
      <c r="J931" s="6"/>
      <c r="K931" s="7"/>
      <c r="L931" s="8"/>
      <c r="M931" s="9"/>
      <c r="N931" s="9"/>
      <c r="O931" s="9"/>
      <c r="P931" s="10"/>
      <c r="Q931" s="11"/>
      <c r="R931" s="11"/>
      <c r="S931" s="11"/>
      <c r="T931" s="11"/>
      <c r="U931" s="11"/>
      <c r="V931" s="11"/>
      <c r="W931" s="11"/>
      <c r="X931" s="11"/>
      <c r="Y931" s="11"/>
      <c r="Z931" s="12"/>
      <c r="AA931" s="12"/>
      <c r="AB931" s="12"/>
      <c r="AC931" s="12"/>
      <c r="AD931" s="12"/>
      <c r="AE931" s="12"/>
      <c r="AF931" s="12"/>
    </row>
    <row r="932" ht="46.5" customHeight="1">
      <c r="A932" s="1"/>
      <c r="B932" s="2"/>
      <c r="C932" s="2"/>
      <c r="D932" s="3"/>
      <c r="E932" s="3"/>
      <c r="F932" s="3"/>
      <c r="G932" s="3"/>
      <c r="H932" s="4"/>
      <c r="I932" s="5"/>
      <c r="J932" s="6"/>
      <c r="K932" s="7"/>
      <c r="L932" s="8"/>
      <c r="M932" s="9"/>
      <c r="N932" s="9"/>
      <c r="O932" s="9"/>
      <c r="P932" s="10"/>
      <c r="Q932" s="11"/>
      <c r="R932" s="11"/>
      <c r="S932" s="11"/>
      <c r="T932" s="11"/>
      <c r="U932" s="11"/>
      <c r="V932" s="11"/>
      <c r="W932" s="11"/>
      <c r="X932" s="11"/>
      <c r="Y932" s="11"/>
      <c r="Z932" s="12"/>
      <c r="AA932" s="12"/>
      <c r="AB932" s="12"/>
      <c r="AC932" s="12"/>
      <c r="AD932" s="12"/>
      <c r="AE932" s="12"/>
      <c r="AF932" s="12"/>
    </row>
    <row r="933" ht="46.5" customHeight="1">
      <c r="A933" s="1"/>
      <c r="B933" s="2"/>
      <c r="C933" s="2"/>
      <c r="D933" s="3"/>
      <c r="E933" s="3"/>
      <c r="F933" s="3"/>
      <c r="G933" s="3"/>
      <c r="H933" s="4"/>
      <c r="I933" s="5"/>
      <c r="J933" s="6"/>
      <c r="K933" s="7"/>
      <c r="L933" s="8"/>
      <c r="M933" s="9"/>
      <c r="N933" s="9"/>
      <c r="O933" s="9"/>
      <c r="P933" s="10"/>
      <c r="Q933" s="11"/>
      <c r="R933" s="11"/>
      <c r="S933" s="11"/>
      <c r="T933" s="11"/>
      <c r="U933" s="11"/>
      <c r="V933" s="11"/>
      <c r="W933" s="11"/>
      <c r="X933" s="11"/>
      <c r="Y933" s="11"/>
      <c r="Z933" s="12"/>
      <c r="AA933" s="12"/>
      <c r="AB933" s="12"/>
      <c r="AC933" s="12"/>
      <c r="AD933" s="12"/>
      <c r="AE933" s="12"/>
      <c r="AF933" s="12"/>
    </row>
    <row r="934" ht="46.5" customHeight="1">
      <c r="A934" s="1"/>
      <c r="B934" s="2"/>
      <c r="C934" s="2"/>
      <c r="D934" s="3"/>
      <c r="E934" s="3"/>
      <c r="F934" s="3"/>
      <c r="G934" s="3"/>
      <c r="H934" s="4"/>
      <c r="I934" s="5"/>
      <c r="J934" s="6"/>
      <c r="K934" s="7"/>
      <c r="L934" s="8"/>
      <c r="M934" s="9"/>
      <c r="N934" s="9"/>
      <c r="O934" s="9"/>
      <c r="P934" s="10"/>
      <c r="Q934" s="11"/>
      <c r="R934" s="11"/>
      <c r="S934" s="11"/>
      <c r="T934" s="11"/>
      <c r="U934" s="11"/>
      <c r="V934" s="11"/>
      <c r="W934" s="11"/>
      <c r="X934" s="11"/>
      <c r="Y934" s="11"/>
      <c r="Z934" s="12"/>
      <c r="AA934" s="12"/>
      <c r="AB934" s="12"/>
      <c r="AC934" s="12"/>
      <c r="AD934" s="12"/>
      <c r="AE934" s="12"/>
      <c r="AF934" s="12"/>
    </row>
    <row r="935" ht="46.5" customHeight="1">
      <c r="A935" s="1"/>
      <c r="B935" s="2"/>
      <c r="C935" s="2"/>
      <c r="D935" s="3"/>
      <c r="E935" s="3"/>
      <c r="F935" s="3"/>
      <c r="G935" s="3"/>
      <c r="H935" s="4"/>
      <c r="I935" s="5"/>
      <c r="J935" s="6"/>
      <c r="K935" s="7"/>
      <c r="L935" s="8"/>
      <c r="M935" s="9"/>
      <c r="N935" s="9"/>
      <c r="O935" s="9"/>
      <c r="P935" s="10"/>
      <c r="Q935" s="11"/>
      <c r="R935" s="11"/>
      <c r="S935" s="11"/>
      <c r="T935" s="11"/>
      <c r="U935" s="11"/>
      <c r="V935" s="11"/>
      <c r="W935" s="11"/>
      <c r="X935" s="11"/>
      <c r="Y935" s="11"/>
      <c r="Z935" s="12"/>
      <c r="AA935" s="12"/>
      <c r="AB935" s="12"/>
      <c r="AC935" s="12"/>
      <c r="AD935" s="12"/>
      <c r="AE935" s="12"/>
      <c r="AF935" s="12"/>
    </row>
    <row r="936" ht="46.5" customHeight="1">
      <c r="A936" s="1"/>
      <c r="B936" s="2"/>
      <c r="C936" s="2"/>
      <c r="D936" s="3"/>
      <c r="E936" s="3"/>
      <c r="F936" s="3"/>
      <c r="G936" s="3"/>
      <c r="H936" s="4"/>
      <c r="I936" s="5"/>
      <c r="J936" s="6"/>
      <c r="K936" s="7"/>
      <c r="L936" s="8"/>
      <c r="M936" s="9"/>
      <c r="N936" s="9"/>
      <c r="O936" s="9"/>
      <c r="P936" s="10"/>
      <c r="Q936" s="11"/>
      <c r="R936" s="11"/>
      <c r="S936" s="11"/>
      <c r="T936" s="11"/>
      <c r="U936" s="11"/>
      <c r="V936" s="11"/>
      <c r="W936" s="11"/>
      <c r="X936" s="11"/>
      <c r="Y936" s="11"/>
      <c r="Z936" s="12"/>
      <c r="AA936" s="12"/>
      <c r="AB936" s="12"/>
      <c r="AC936" s="12"/>
      <c r="AD936" s="12"/>
      <c r="AE936" s="12"/>
      <c r="AF936" s="12"/>
    </row>
    <row r="937" ht="46.5" customHeight="1">
      <c r="A937" s="1"/>
      <c r="B937" s="2"/>
      <c r="C937" s="2"/>
      <c r="D937" s="3"/>
      <c r="E937" s="3"/>
      <c r="F937" s="3"/>
      <c r="G937" s="3"/>
      <c r="H937" s="4"/>
      <c r="I937" s="5"/>
      <c r="J937" s="6"/>
      <c r="K937" s="7"/>
      <c r="L937" s="8"/>
      <c r="M937" s="9"/>
      <c r="N937" s="9"/>
      <c r="O937" s="9"/>
      <c r="P937" s="10"/>
      <c r="Q937" s="11"/>
      <c r="R937" s="11"/>
      <c r="S937" s="11"/>
      <c r="T937" s="11"/>
      <c r="U937" s="11"/>
      <c r="V937" s="11"/>
      <c r="W937" s="11"/>
      <c r="X937" s="11"/>
      <c r="Y937" s="11"/>
      <c r="Z937" s="12"/>
      <c r="AA937" s="12"/>
      <c r="AB937" s="12"/>
      <c r="AC937" s="12"/>
      <c r="AD937" s="12"/>
      <c r="AE937" s="12"/>
      <c r="AF937" s="12"/>
    </row>
    <row r="938" ht="46.5" customHeight="1">
      <c r="A938" s="1"/>
      <c r="B938" s="2"/>
      <c r="C938" s="2"/>
      <c r="D938" s="3"/>
      <c r="E938" s="3"/>
      <c r="F938" s="3"/>
      <c r="G938" s="3"/>
      <c r="H938" s="4"/>
      <c r="I938" s="5"/>
      <c r="J938" s="6"/>
      <c r="K938" s="7"/>
      <c r="L938" s="8"/>
      <c r="M938" s="9"/>
      <c r="N938" s="9"/>
      <c r="O938" s="9"/>
      <c r="P938" s="10"/>
      <c r="Q938" s="11"/>
      <c r="R938" s="11"/>
      <c r="S938" s="11"/>
      <c r="T938" s="11"/>
      <c r="U938" s="11"/>
      <c r="V938" s="11"/>
      <c r="W938" s="11"/>
      <c r="X938" s="11"/>
      <c r="Y938" s="11"/>
      <c r="Z938" s="12"/>
      <c r="AA938" s="12"/>
      <c r="AB938" s="12"/>
      <c r="AC938" s="12"/>
      <c r="AD938" s="12"/>
      <c r="AE938" s="12"/>
      <c r="AF938" s="12"/>
    </row>
    <row r="939" ht="46.5" customHeight="1">
      <c r="A939" s="1"/>
      <c r="B939" s="2"/>
      <c r="C939" s="2"/>
      <c r="D939" s="3"/>
      <c r="E939" s="3"/>
      <c r="F939" s="3"/>
      <c r="G939" s="3"/>
      <c r="H939" s="4"/>
      <c r="I939" s="5"/>
      <c r="J939" s="6"/>
      <c r="K939" s="7"/>
      <c r="L939" s="8"/>
      <c r="M939" s="9"/>
      <c r="N939" s="9"/>
      <c r="O939" s="9"/>
      <c r="P939" s="10"/>
      <c r="Q939" s="11"/>
      <c r="R939" s="11"/>
      <c r="S939" s="11"/>
      <c r="T939" s="11"/>
      <c r="U939" s="11"/>
      <c r="V939" s="11"/>
      <c r="W939" s="11"/>
      <c r="X939" s="11"/>
      <c r="Y939" s="11"/>
      <c r="Z939" s="12"/>
      <c r="AA939" s="12"/>
      <c r="AB939" s="12"/>
      <c r="AC939" s="12"/>
      <c r="AD939" s="12"/>
      <c r="AE939" s="12"/>
      <c r="AF939" s="12"/>
    </row>
    <row r="940" ht="46.5" customHeight="1">
      <c r="A940" s="1"/>
      <c r="B940" s="2"/>
      <c r="C940" s="2"/>
      <c r="D940" s="3"/>
      <c r="E940" s="3"/>
      <c r="F940" s="3"/>
      <c r="G940" s="3"/>
      <c r="H940" s="4"/>
      <c r="I940" s="5"/>
      <c r="J940" s="6"/>
      <c r="K940" s="7"/>
      <c r="L940" s="8"/>
      <c r="M940" s="9"/>
      <c r="N940" s="9"/>
      <c r="O940" s="9"/>
      <c r="P940" s="10"/>
      <c r="Q940" s="11"/>
      <c r="R940" s="11"/>
      <c r="S940" s="11"/>
      <c r="T940" s="11"/>
      <c r="U940" s="11"/>
      <c r="V940" s="11"/>
      <c r="W940" s="11"/>
      <c r="X940" s="11"/>
      <c r="Y940" s="11"/>
      <c r="Z940" s="12"/>
      <c r="AA940" s="12"/>
      <c r="AB940" s="12"/>
      <c r="AC940" s="12"/>
      <c r="AD940" s="12"/>
      <c r="AE940" s="12"/>
      <c r="AF940" s="12"/>
    </row>
    <row r="941" ht="46.5" customHeight="1">
      <c r="A941" s="1"/>
      <c r="B941" s="2"/>
      <c r="C941" s="2"/>
      <c r="D941" s="3"/>
      <c r="E941" s="3"/>
      <c r="F941" s="3"/>
      <c r="G941" s="3"/>
      <c r="H941" s="4"/>
      <c r="I941" s="5"/>
      <c r="J941" s="6"/>
      <c r="K941" s="7"/>
      <c r="L941" s="8"/>
      <c r="M941" s="9"/>
      <c r="N941" s="9"/>
      <c r="O941" s="9"/>
      <c r="P941" s="10"/>
      <c r="Q941" s="11"/>
      <c r="R941" s="11"/>
      <c r="S941" s="11"/>
      <c r="T941" s="11"/>
      <c r="U941" s="11"/>
      <c r="V941" s="11"/>
      <c r="W941" s="11"/>
      <c r="X941" s="11"/>
      <c r="Y941" s="11"/>
      <c r="Z941" s="12"/>
      <c r="AA941" s="12"/>
      <c r="AB941" s="12"/>
      <c r="AC941" s="12"/>
      <c r="AD941" s="12"/>
      <c r="AE941" s="12"/>
      <c r="AF941" s="12"/>
    </row>
    <row r="942" ht="46.5" customHeight="1">
      <c r="A942" s="1"/>
      <c r="B942" s="2"/>
      <c r="C942" s="2"/>
      <c r="D942" s="3"/>
      <c r="E942" s="3"/>
      <c r="F942" s="3"/>
      <c r="G942" s="3"/>
      <c r="H942" s="4"/>
      <c r="I942" s="5"/>
      <c r="J942" s="6"/>
      <c r="K942" s="7"/>
      <c r="L942" s="8"/>
      <c r="M942" s="9"/>
      <c r="N942" s="9"/>
      <c r="O942" s="9"/>
      <c r="P942" s="10"/>
      <c r="Q942" s="11"/>
      <c r="R942" s="11"/>
      <c r="S942" s="11"/>
      <c r="T942" s="11"/>
      <c r="U942" s="11"/>
      <c r="V942" s="11"/>
      <c r="W942" s="11"/>
      <c r="X942" s="11"/>
      <c r="Y942" s="11"/>
      <c r="Z942" s="12"/>
      <c r="AA942" s="12"/>
      <c r="AB942" s="12"/>
      <c r="AC942" s="12"/>
      <c r="AD942" s="12"/>
      <c r="AE942" s="12"/>
      <c r="AF942" s="12"/>
    </row>
    <row r="943" ht="46.5" customHeight="1">
      <c r="A943" s="1"/>
      <c r="B943" s="2"/>
      <c r="C943" s="2"/>
      <c r="D943" s="3"/>
      <c r="E943" s="3"/>
      <c r="F943" s="3"/>
      <c r="G943" s="3"/>
      <c r="H943" s="4"/>
      <c r="I943" s="5"/>
      <c r="J943" s="6"/>
      <c r="K943" s="7"/>
      <c r="L943" s="8"/>
      <c r="M943" s="9"/>
      <c r="N943" s="9"/>
      <c r="O943" s="9"/>
      <c r="P943" s="10"/>
      <c r="Q943" s="11"/>
      <c r="R943" s="11"/>
      <c r="S943" s="11"/>
      <c r="T943" s="11"/>
      <c r="U943" s="11"/>
      <c r="V943" s="11"/>
      <c r="W943" s="11"/>
      <c r="X943" s="11"/>
      <c r="Y943" s="11"/>
      <c r="Z943" s="12"/>
      <c r="AA943" s="12"/>
      <c r="AB943" s="12"/>
      <c r="AC943" s="12"/>
      <c r="AD943" s="12"/>
      <c r="AE943" s="12"/>
      <c r="AF943" s="12"/>
    </row>
    <row r="944" ht="46.5" customHeight="1">
      <c r="A944" s="1"/>
      <c r="B944" s="2"/>
      <c r="C944" s="2"/>
      <c r="D944" s="3"/>
      <c r="E944" s="3"/>
      <c r="F944" s="3"/>
      <c r="G944" s="3"/>
      <c r="H944" s="4"/>
      <c r="I944" s="5"/>
      <c r="J944" s="6"/>
      <c r="K944" s="7"/>
      <c r="L944" s="8"/>
      <c r="M944" s="9"/>
      <c r="N944" s="9"/>
      <c r="O944" s="9"/>
      <c r="P944" s="10"/>
      <c r="Q944" s="11"/>
      <c r="R944" s="11"/>
      <c r="S944" s="11"/>
      <c r="T944" s="11"/>
      <c r="U944" s="11"/>
      <c r="V944" s="11"/>
      <c r="W944" s="11"/>
      <c r="X944" s="11"/>
      <c r="Y944" s="11"/>
      <c r="Z944" s="12"/>
      <c r="AA944" s="12"/>
      <c r="AB944" s="12"/>
      <c r="AC944" s="12"/>
      <c r="AD944" s="12"/>
      <c r="AE944" s="12"/>
      <c r="AF944" s="12"/>
    </row>
    <row r="945" ht="46.5" customHeight="1">
      <c r="A945" s="1"/>
      <c r="B945" s="2"/>
      <c r="C945" s="2"/>
      <c r="D945" s="3"/>
      <c r="E945" s="3"/>
      <c r="F945" s="3"/>
      <c r="G945" s="3"/>
      <c r="H945" s="4"/>
      <c r="I945" s="5"/>
      <c r="J945" s="6"/>
      <c r="K945" s="7"/>
      <c r="L945" s="8"/>
      <c r="M945" s="9"/>
      <c r="N945" s="9"/>
      <c r="O945" s="9"/>
      <c r="P945" s="10"/>
      <c r="Q945" s="11"/>
      <c r="R945" s="11"/>
      <c r="S945" s="11"/>
      <c r="T945" s="11"/>
      <c r="U945" s="11"/>
      <c r="V945" s="11"/>
      <c r="W945" s="11"/>
      <c r="X945" s="11"/>
      <c r="Y945" s="11"/>
      <c r="Z945" s="12"/>
      <c r="AA945" s="12"/>
      <c r="AB945" s="12"/>
      <c r="AC945" s="12"/>
      <c r="AD945" s="12"/>
      <c r="AE945" s="12"/>
      <c r="AF945" s="12"/>
    </row>
    <row r="946" ht="46.5" customHeight="1">
      <c r="A946" s="1"/>
      <c r="B946" s="2"/>
      <c r="C946" s="2"/>
      <c r="D946" s="3"/>
      <c r="E946" s="3"/>
      <c r="F946" s="3"/>
      <c r="G946" s="3"/>
      <c r="H946" s="4"/>
      <c r="I946" s="5"/>
      <c r="J946" s="6"/>
      <c r="K946" s="7"/>
      <c r="L946" s="8"/>
      <c r="M946" s="9"/>
      <c r="N946" s="9"/>
      <c r="O946" s="9"/>
      <c r="P946" s="10"/>
      <c r="Q946" s="11"/>
      <c r="R946" s="11"/>
      <c r="S946" s="11"/>
      <c r="T946" s="11"/>
      <c r="U946" s="11"/>
      <c r="V946" s="11"/>
      <c r="W946" s="11"/>
      <c r="X946" s="11"/>
      <c r="Y946" s="11"/>
      <c r="Z946" s="12"/>
      <c r="AA946" s="12"/>
      <c r="AB946" s="12"/>
      <c r="AC946" s="12"/>
      <c r="AD946" s="12"/>
      <c r="AE946" s="12"/>
      <c r="AF946" s="12"/>
    </row>
    <row r="947" ht="46.5" customHeight="1">
      <c r="A947" s="1"/>
      <c r="B947" s="2"/>
      <c r="C947" s="2"/>
      <c r="D947" s="3"/>
      <c r="E947" s="3"/>
      <c r="F947" s="3"/>
      <c r="G947" s="3"/>
      <c r="H947" s="4"/>
      <c r="I947" s="5"/>
      <c r="J947" s="6"/>
      <c r="K947" s="7"/>
      <c r="L947" s="8"/>
      <c r="M947" s="9"/>
      <c r="N947" s="9"/>
      <c r="O947" s="9"/>
      <c r="P947" s="10"/>
      <c r="Q947" s="11"/>
      <c r="R947" s="11"/>
      <c r="S947" s="11"/>
      <c r="T947" s="11"/>
      <c r="U947" s="11"/>
      <c r="V947" s="11"/>
      <c r="W947" s="11"/>
      <c r="X947" s="11"/>
      <c r="Y947" s="11"/>
      <c r="Z947" s="12"/>
      <c r="AA947" s="12"/>
      <c r="AB947" s="12"/>
      <c r="AC947" s="12"/>
      <c r="AD947" s="12"/>
      <c r="AE947" s="12"/>
      <c r="AF947" s="12"/>
    </row>
    <row r="948" ht="46.5" customHeight="1">
      <c r="A948" s="1"/>
      <c r="B948" s="2"/>
      <c r="C948" s="2"/>
      <c r="D948" s="3"/>
      <c r="E948" s="3"/>
      <c r="F948" s="3"/>
      <c r="G948" s="3"/>
      <c r="H948" s="4"/>
      <c r="I948" s="5"/>
      <c r="J948" s="6"/>
      <c r="K948" s="7"/>
      <c r="L948" s="8"/>
      <c r="M948" s="9"/>
      <c r="N948" s="9"/>
      <c r="O948" s="9"/>
      <c r="P948" s="10"/>
      <c r="Q948" s="11"/>
      <c r="R948" s="11"/>
      <c r="S948" s="11"/>
      <c r="T948" s="11"/>
      <c r="U948" s="11"/>
      <c r="V948" s="11"/>
      <c r="W948" s="11"/>
      <c r="X948" s="11"/>
      <c r="Y948" s="11"/>
      <c r="Z948" s="12"/>
      <c r="AA948" s="12"/>
      <c r="AB948" s="12"/>
      <c r="AC948" s="12"/>
      <c r="AD948" s="12"/>
      <c r="AE948" s="12"/>
      <c r="AF948" s="12"/>
    </row>
    <row r="949" ht="46.5" customHeight="1">
      <c r="A949" s="1"/>
      <c r="B949" s="2"/>
      <c r="C949" s="2"/>
      <c r="D949" s="3"/>
      <c r="E949" s="3"/>
      <c r="F949" s="3"/>
      <c r="G949" s="3"/>
      <c r="H949" s="4"/>
      <c r="I949" s="5"/>
      <c r="J949" s="6"/>
      <c r="K949" s="7"/>
      <c r="L949" s="8"/>
      <c r="M949" s="9"/>
      <c r="N949" s="9"/>
      <c r="O949" s="9"/>
      <c r="P949" s="10"/>
      <c r="Q949" s="11"/>
      <c r="R949" s="11"/>
      <c r="S949" s="11"/>
      <c r="T949" s="11"/>
      <c r="U949" s="11"/>
      <c r="V949" s="11"/>
      <c r="W949" s="11"/>
      <c r="X949" s="11"/>
      <c r="Y949" s="11"/>
      <c r="Z949" s="12"/>
      <c r="AA949" s="12"/>
      <c r="AB949" s="12"/>
      <c r="AC949" s="12"/>
      <c r="AD949" s="12"/>
      <c r="AE949" s="12"/>
      <c r="AF949" s="12"/>
    </row>
    <row r="950" ht="46.5" customHeight="1">
      <c r="A950" s="1"/>
      <c r="B950" s="2"/>
      <c r="C950" s="2"/>
      <c r="D950" s="3"/>
      <c r="E950" s="3"/>
      <c r="F950" s="3"/>
      <c r="G950" s="3"/>
      <c r="H950" s="4"/>
      <c r="I950" s="5"/>
      <c r="J950" s="6"/>
      <c r="K950" s="7"/>
      <c r="L950" s="8"/>
      <c r="M950" s="9"/>
      <c r="N950" s="9"/>
      <c r="O950" s="9"/>
      <c r="P950" s="10"/>
      <c r="Q950" s="11"/>
      <c r="R950" s="11"/>
      <c r="S950" s="11"/>
      <c r="T950" s="11"/>
      <c r="U950" s="11"/>
      <c r="V950" s="11"/>
      <c r="W950" s="11"/>
      <c r="X950" s="11"/>
      <c r="Y950" s="11"/>
      <c r="Z950" s="12"/>
      <c r="AA950" s="12"/>
      <c r="AB950" s="12"/>
      <c r="AC950" s="12"/>
      <c r="AD950" s="12"/>
      <c r="AE950" s="12"/>
      <c r="AF950" s="12"/>
    </row>
    <row r="951" ht="46.5" customHeight="1">
      <c r="A951" s="1"/>
      <c r="B951" s="2"/>
      <c r="C951" s="2"/>
      <c r="D951" s="3"/>
      <c r="E951" s="3"/>
      <c r="F951" s="3"/>
      <c r="G951" s="3"/>
      <c r="H951" s="4"/>
      <c r="I951" s="5"/>
      <c r="J951" s="6"/>
      <c r="K951" s="7"/>
      <c r="L951" s="8"/>
      <c r="M951" s="9"/>
      <c r="N951" s="9"/>
      <c r="O951" s="9"/>
      <c r="P951" s="10"/>
      <c r="Q951" s="11"/>
      <c r="R951" s="11"/>
      <c r="S951" s="11"/>
      <c r="T951" s="11"/>
      <c r="U951" s="11"/>
      <c r="V951" s="11"/>
      <c r="W951" s="11"/>
      <c r="X951" s="11"/>
      <c r="Y951" s="11"/>
      <c r="Z951" s="12"/>
      <c r="AA951" s="12"/>
      <c r="AB951" s="12"/>
      <c r="AC951" s="12"/>
      <c r="AD951" s="12"/>
      <c r="AE951" s="12"/>
      <c r="AF951" s="12"/>
    </row>
    <row r="952" ht="46.5" customHeight="1">
      <c r="A952" s="1"/>
      <c r="B952" s="2"/>
      <c r="C952" s="2"/>
      <c r="D952" s="3"/>
      <c r="E952" s="3"/>
      <c r="F952" s="3"/>
      <c r="G952" s="3"/>
      <c r="H952" s="4"/>
      <c r="I952" s="5"/>
      <c r="J952" s="6"/>
      <c r="K952" s="7"/>
      <c r="L952" s="8"/>
      <c r="M952" s="9"/>
      <c r="N952" s="9"/>
      <c r="O952" s="9"/>
      <c r="P952" s="10"/>
      <c r="Q952" s="11"/>
      <c r="R952" s="11"/>
      <c r="S952" s="11"/>
      <c r="T952" s="11"/>
      <c r="U952" s="11"/>
      <c r="V952" s="11"/>
      <c r="W952" s="11"/>
      <c r="X952" s="11"/>
      <c r="Y952" s="11"/>
      <c r="Z952" s="12"/>
      <c r="AA952" s="12"/>
      <c r="AB952" s="12"/>
      <c r="AC952" s="12"/>
      <c r="AD952" s="12"/>
      <c r="AE952" s="12"/>
      <c r="AF952" s="12"/>
    </row>
    <row r="953" ht="46.5" customHeight="1">
      <c r="A953" s="1"/>
      <c r="B953" s="2"/>
      <c r="C953" s="2"/>
      <c r="D953" s="3"/>
      <c r="E953" s="3"/>
      <c r="F953" s="3"/>
      <c r="G953" s="3"/>
      <c r="H953" s="4"/>
      <c r="I953" s="5"/>
      <c r="J953" s="6"/>
      <c r="K953" s="7"/>
      <c r="L953" s="8"/>
      <c r="M953" s="9"/>
      <c r="N953" s="9"/>
      <c r="O953" s="9"/>
      <c r="P953" s="10"/>
      <c r="Q953" s="11"/>
      <c r="R953" s="11"/>
      <c r="S953" s="11"/>
      <c r="T953" s="11"/>
      <c r="U953" s="11"/>
      <c r="V953" s="11"/>
      <c r="W953" s="11"/>
      <c r="X953" s="11"/>
      <c r="Y953" s="11"/>
      <c r="Z953" s="12"/>
      <c r="AA953" s="12"/>
      <c r="AB953" s="12"/>
      <c r="AC953" s="12"/>
      <c r="AD953" s="12"/>
      <c r="AE953" s="12"/>
      <c r="AF953" s="12"/>
    </row>
    <row r="954" ht="46.5" customHeight="1">
      <c r="A954" s="1"/>
      <c r="B954" s="2"/>
      <c r="C954" s="2"/>
      <c r="D954" s="3"/>
      <c r="E954" s="3"/>
      <c r="F954" s="3"/>
      <c r="G954" s="3"/>
      <c r="H954" s="4"/>
      <c r="I954" s="5"/>
      <c r="J954" s="6"/>
      <c r="K954" s="7"/>
      <c r="L954" s="8"/>
      <c r="M954" s="9"/>
      <c r="N954" s="9"/>
      <c r="O954" s="9"/>
      <c r="P954" s="10"/>
      <c r="Q954" s="11"/>
      <c r="R954" s="11"/>
      <c r="S954" s="11"/>
      <c r="T954" s="11"/>
      <c r="U954" s="11"/>
      <c r="V954" s="11"/>
      <c r="W954" s="11"/>
      <c r="X954" s="11"/>
      <c r="Y954" s="11"/>
      <c r="Z954" s="12"/>
      <c r="AA954" s="12"/>
      <c r="AB954" s="12"/>
      <c r="AC954" s="12"/>
      <c r="AD954" s="12"/>
      <c r="AE954" s="12"/>
      <c r="AF954" s="12"/>
    </row>
    <row r="955" ht="46.5" customHeight="1">
      <c r="A955" s="1"/>
      <c r="B955" s="2"/>
      <c r="C955" s="2"/>
      <c r="D955" s="3"/>
      <c r="E955" s="3"/>
      <c r="F955" s="3"/>
      <c r="G955" s="3"/>
      <c r="H955" s="4"/>
      <c r="I955" s="5"/>
      <c r="J955" s="6"/>
      <c r="K955" s="7"/>
      <c r="L955" s="8"/>
      <c r="M955" s="9"/>
      <c r="N955" s="9"/>
      <c r="O955" s="9"/>
      <c r="P955" s="10"/>
      <c r="Q955" s="11"/>
      <c r="R955" s="11"/>
      <c r="S955" s="11"/>
      <c r="T955" s="11"/>
      <c r="U955" s="11"/>
      <c r="V955" s="11"/>
      <c r="W955" s="11"/>
      <c r="X955" s="11"/>
      <c r="Y955" s="11"/>
      <c r="Z955" s="12"/>
      <c r="AA955" s="12"/>
      <c r="AB955" s="12"/>
      <c r="AC955" s="12"/>
      <c r="AD955" s="12"/>
      <c r="AE955" s="12"/>
      <c r="AF955" s="12"/>
    </row>
    <row r="956" ht="46.5" customHeight="1">
      <c r="A956" s="1"/>
      <c r="B956" s="2"/>
      <c r="C956" s="2"/>
      <c r="D956" s="3"/>
      <c r="E956" s="3"/>
      <c r="F956" s="3"/>
      <c r="G956" s="3"/>
      <c r="H956" s="4"/>
      <c r="I956" s="5"/>
      <c r="J956" s="6"/>
      <c r="K956" s="7"/>
      <c r="L956" s="8"/>
      <c r="M956" s="9"/>
      <c r="N956" s="9"/>
      <c r="O956" s="9"/>
      <c r="P956" s="10"/>
      <c r="Q956" s="11"/>
      <c r="R956" s="11"/>
      <c r="S956" s="11"/>
      <c r="T956" s="11"/>
      <c r="U956" s="11"/>
      <c r="V956" s="11"/>
      <c r="W956" s="11"/>
      <c r="X956" s="11"/>
      <c r="Y956" s="11"/>
      <c r="Z956" s="12"/>
      <c r="AA956" s="12"/>
      <c r="AB956" s="12"/>
      <c r="AC956" s="12"/>
      <c r="AD956" s="12"/>
      <c r="AE956" s="12"/>
      <c r="AF956" s="12"/>
    </row>
    <row r="957" ht="46.5" customHeight="1">
      <c r="A957" s="1"/>
      <c r="B957" s="2"/>
      <c r="C957" s="2"/>
      <c r="D957" s="3"/>
      <c r="E957" s="3"/>
      <c r="F957" s="3"/>
      <c r="G957" s="3"/>
      <c r="H957" s="4"/>
      <c r="I957" s="5"/>
      <c r="J957" s="6"/>
      <c r="K957" s="7"/>
      <c r="L957" s="8"/>
      <c r="M957" s="9"/>
      <c r="N957" s="9"/>
      <c r="O957" s="9"/>
      <c r="P957" s="10"/>
      <c r="Q957" s="11"/>
      <c r="R957" s="11"/>
      <c r="S957" s="11"/>
      <c r="T957" s="11"/>
      <c r="U957" s="11"/>
      <c r="V957" s="11"/>
      <c r="W957" s="11"/>
      <c r="X957" s="11"/>
      <c r="Y957" s="11"/>
      <c r="Z957" s="12"/>
      <c r="AA957" s="12"/>
      <c r="AB957" s="12"/>
      <c r="AC957" s="12"/>
      <c r="AD957" s="12"/>
      <c r="AE957" s="12"/>
      <c r="AF957" s="12"/>
    </row>
    <row r="958" ht="46.5" customHeight="1">
      <c r="A958" s="1"/>
      <c r="B958" s="2"/>
      <c r="C958" s="2"/>
      <c r="D958" s="3"/>
      <c r="E958" s="3"/>
      <c r="F958" s="3"/>
      <c r="G958" s="3"/>
      <c r="H958" s="4"/>
      <c r="I958" s="5"/>
      <c r="J958" s="6"/>
      <c r="K958" s="7"/>
      <c r="L958" s="8"/>
      <c r="M958" s="9"/>
      <c r="N958" s="9"/>
      <c r="O958" s="9"/>
      <c r="P958" s="10"/>
      <c r="Q958" s="11"/>
      <c r="R958" s="11"/>
      <c r="S958" s="11"/>
      <c r="T958" s="11"/>
      <c r="U958" s="11"/>
      <c r="V958" s="11"/>
      <c r="W958" s="11"/>
      <c r="X958" s="11"/>
      <c r="Y958" s="11"/>
      <c r="Z958" s="12"/>
      <c r="AA958" s="12"/>
      <c r="AB958" s="12"/>
      <c r="AC958" s="12"/>
      <c r="AD958" s="12"/>
      <c r="AE958" s="12"/>
      <c r="AF958" s="12"/>
    </row>
    <row r="959" ht="46.5" customHeight="1">
      <c r="A959" s="1"/>
      <c r="B959" s="2"/>
      <c r="C959" s="2"/>
      <c r="D959" s="3"/>
      <c r="E959" s="3"/>
      <c r="F959" s="3"/>
      <c r="G959" s="3"/>
      <c r="H959" s="4"/>
      <c r="I959" s="5"/>
      <c r="J959" s="6"/>
      <c r="K959" s="7"/>
      <c r="L959" s="8"/>
      <c r="M959" s="9"/>
      <c r="N959" s="9"/>
      <c r="O959" s="9"/>
      <c r="P959" s="10"/>
      <c r="Q959" s="11"/>
      <c r="R959" s="11"/>
      <c r="S959" s="11"/>
      <c r="T959" s="11"/>
      <c r="U959" s="11"/>
      <c r="V959" s="11"/>
      <c r="W959" s="11"/>
      <c r="X959" s="11"/>
      <c r="Y959" s="11"/>
      <c r="Z959" s="12"/>
      <c r="AA959" s="12"/>
      <c r="AB959" s="12"/>
      <c r="AC959" s="12"/>
      <c r="AD959" s="12"/>
      <c r="AE959" s="12"/>
      <c r="AF959" s="12"/>
    </row>
    <row r="960" ht="46.5" customHeight="1">
      <c r="A960" s="1"/>
      <c r="B960" s="2"/>
      <c r="C960" s="2"/>
      <c r="D960" s="3"/>
      <c r="E960" s="3"/>
      <c r="F960" s="3"/>
      <c r="G960" s="3"/>
      <c r="H960" s="4"/>
      <c r="I960" s="5"/>
      <c r="J960" s="6"/>
      <c r="K960" s="7"/>
      <c r="L960" s="8"/>
      <c r="M960" s="9"/>
      <c r="N960" s="9"/>
      <c r="O960" s="9"/>
      <c r="P960" s="10"/>
      <c r="Q960" s="11"/>
      <c r="R960" s="11"/>
      <c r="S960" s="11"/>
      <c r="T960" s="11"/>
      <c r="U960" s="11"/>
      <c r="V960" s="11"/>
      <c r="W960" s="11"/>
      <c r="X960" s="11"/>
      <c r="Y960" s="11"/>
      <c r="Z960" s="12"/>
      <c r="AA960" s="12"/>
      <c r="AB960" s="12"/>
      <c r="AC960" s="12"/>
      <c r="AD960" s="12"/>
      <c r="AE960" s="12"/>
      <c r="AF960" s="12"/>
    </row>
    <row r="961" ht="46.5" customHeight="1">
      <c r="A961" s="1"/>
      <c r="B961" s="2"/>
      <c r="C961" s="2"/>
      <c r="D961" s="3"/>
      <c r="E961" s="3"/>
      <c r="F961" s="3"/>
      <c r="G961" s="3"/>
      <c r="H961" s="4"/>
      <c r="I961" s="5"/>
      <c r="J961" s="6"/>
      <c r="K961" s="7"/>
      <c r="L961" s="8"/>
      <c r="M961" s="9"/>
      <c r="N961" s="9"/>
      <c r="O961" s="9"/>
      <c r="P961" s="10"/>
      <c r="Q961" s="11"/>
      <c r="R961" s="11"/>
      <c r="S961" s="11"/>
      <c r="T961" s="11"/>
      <c r="U961" s="11"/>
      <c r="V961" s="11"/>
      <c r="W961" s="11"/>
      <c r="X961" s="11"/>
      <c r="Y961" s="11"/>
      <c r="Z961" s="12"/>
      <c r="AA961" s="12"/>
      <c r="AB961" s="12"/>
      <c r="AC961" s="12"/>
      <c r="AD961" s="12"/>
      <c r="AE961" s="12"/>
      <c r="AF961" s="12"/>
    </row>
    <row r="962" ht="46.5" customHeight="1">
      <c r="A962" s="1"/>
      <c r="B962" s="2"/>
      <c r="C962" s="2"/>
      <c r="D962" s="3"/>
      <c r="E962" s="3"/>
      <c r="F962" s="3"/>
      <c r="G962" s="3"/>
      <c r="H962" s="4"/>
      <c r="I962" s="5"/>
      <c r="J962" s="6"/>
      <c r="K962" s="7"/>
      <c r="L962" s="8"/>
      <c r="M962" s="9"/>
      <c r="N962" s="9"/>
      <c r="O962" s="9"/>
      <c r="P962" s="10"/>
      <c r="Q962" s="11"/>
      <c r="R962" s="11"/>
      <c r="S962" s="11"/>
      <c r="T962" s="11"/>
      <c r="U962" s="11"/>
      <c r="V962" s="11"/>
      <c r="W962" s="11"/>
      <c r="X962" s="11"/>
      <c r="Y962" s="11"/>
      <c r="Z962" s="12"/>
      <c r="AA962" s="12"/>
      <c r="AB962" s="12"/>
      <c r="AC962" s="12"/>
      <c r="AD962" s="12"/>
      <c r="AE962" s="12"/>
      <c r="AF962" s="12"/>
    </row>
    <row r="963" ht="46.5" customHeight="1">
      <c r="A963" s="1"/>
      <c r="B963" s="2"/>
      <c r="C963" s="2"/>
      <c r="D963" s="3"/>
      <c r="E963" s="3"/>
      <c r="F963" s="3"/>
      <c r="G963" s="3"/>
      <c r="H963" s="4"/>
      <c r="I963" s="5"/>
      <c r="J963" s="6"/>
      <c r="K963" s="7"/>
      <c r="L963" s="8"/>
      <c r="M963" s="9"/>
      <c r="N963" s="9"/>
      <c r="O963" s="9"/>
      <c r="P963" s="10"/>
      <c r="Q963" s="11"/>
      <c r="R963" s="11"/>
      <c r="S963" s="11"/>
      <c r="T963" s="11"/>
      <c r="U963" s="11"/>
      <c r="V963" s="11"/>
      <c r="W963" s="11"/>
      <c r="X963" s="11"/>
      <c r="Y963" s="11"/>
      <c r="Z963" s="12"/>
      <c r="AA963" s="12"/>
      <c r="AB963" s="12"/>
      <c r="AC963" s="12"/>
      <c r="AD963" s="12"/>
      <c r="AE963" s="12"/>
      <c r="AF963" s="12"/>
    </row>
    <row r="964" ht="46.5" customHeight="1">
      <c r="A964" s="1"/>
      <c r="B964" s="2"/>
      <c r="C964" s="2"/>
      <c r="D964" s="3"/>
      <c r="E964" s="3"/>
      <c r="F964" s="3"/>
      <c r="G964" s="3"/>
      <c r="H964" s="4"/>
      <c r="I964" s="5"/>
      <c r="J964" s="6"/>
      <c r="K964" s="7"/>
      <c r="L964" s="8"/>
      <c r="M964" s="9"/>
      <c r="N964" s="9"/>
      <c r="O964" s="9"/>
      <c r="P964" s="10"/>
      <c r="Q964" s="11"/>
      <c r="R964" s="11"/>
      <c r="S964" s="11"/>
      <c r="T964" s="11"/>
      <c r="U964" s="11"/>
      <c r="V964" s="11"/>
      <c r="W964" s="11"/>
      <c r="X964" s="11"/>
      <c r="Y964" s="11"/>
      <c r="Z964" s="12"/>
      <c r="AA964" s="12"/>
      <c r="AB964" s="12"/>
      <c r="AC964" s="12"/>
      <c r="AD964" s="12"/>
      <c r="AE964" s="12"/>
      <c r="AF964" s="12"/>
    </row>
    <row r="965" ht="46.5" customHeight="1">
      <c r="A965" s="1"/>
      <c r="B965" s="2"/>
      <c r="C965" s="2"/>
      <c r="D965" s="3"/>
      <c r="E965" s="3"/>
      <c r="F965" s="3"/>
      <c r="G965" s="3"/>
      <c r="H965" s="4"/>
      <c r="I965" s="5"/>
      <c r="J965" s="6"/>
      <c r="K965" s="7"/>
      <c r="L965" s="8"/>
      <c r="M965" s="9"/>
      <c r="N965" s="9"/>
      <c r="O965" s="9"/>
      <c r="P965" s="10"/>
      <c r="Q965" s="11"/>
      <c r="R965" s="11"/>
      <c r="S965" s="11"/>
      <c r="T965" s="11"/>
      <c r="U965" s="11"/>
      <c r="V965" s="11"/>
      <c r="W965" s="11"/>
      <c r="X965" s="11"/>
      <c r="Y965" s="11"/>
      <c r="Z965" s="12"/>
      <c r="AA965" s="12"/>
      <c r="AB965" s="12"/>
      <c r="AC965" s="12"/>
      <c r="AD965" s="12"/>
      <c r="AE965" s="12"/>
      <c r="AF965" s="12"/>
    </row>
    <row r="966" ht="46.5" customHeight="1">
      <c r="A966" s="1"/>
      <c r="B966" s="2"/>
      <c r="C966" s="2"/>
      <c r="D966" s="3"/>
      <c r="E966" s="3"/>
      <c r="F966" s="3"/>
      <c r="G966" s="3"/>
      <c r="H966" s="4"/>
      <c r="I966" s="5"/>
      <c r="J966" s="6"/>
      <c r="K966" s="7"/>
      <c r="L966" s="8"/>
      <c r="M966" s="9"/>
      <c r="N966" s="9"/>
      <c r="O966" s="9"/>
      <c r="P966" s="10"/>
      <c r="Q966" s="11"/>
      <c r="R966" s="11"/>
      <c r="S966" s="11"/>
      <c r="T966" s="11"/>
      <c r="U966" s="11"/>
      <c r="V966" s="11"/>
      <c r="W966" s="11"/>
      <c r="X966" s="11"/>
      <c r="Y966" s="11"/>
      <c r="Z966" s="12"/>
      <c r="AA966" s="12"/>
      <c r="AB966" s="12"/>
      <c r="AC966" s="12"/>
      <c r="AD966" s="12"/>
      <c r="AE966" s="12"/>
      <c r="AF966" s="12"/>
    </row>
    <row r="967" ht="46.5" customHeight="1">
      <c r="A967" s="1"/>
      <c r="B967" s="2"/>
      <c r="C967" s="2"/>
      <c r="D967" s="3"/>
      <c r="E967" s="3"/>
      <c r="F967" s="3"/>
      <c r="G967" s="3"/>
      <c r="H967" s="4"/>
      <c r="I967" s="5"/>
      <c r="J967" s="6"/>
      <c r="K967" s="7"/>
      <c r="L967" s="8"/>
      <c r="M967" s="9"/>
      <c r="N967" s="9"/>
      <c r="O967" s="9"/>
      <c r="P967" s="10"/>
      <c r="Q967" s="11"/>
      <c r="R967" s="11"/>
      <c r="S967" s="11"/>
      <c r="T967" s="11"/>
      <c r="U967" s="11"/>
      <c r="V967" s="11"/>
      <c r="W967" s="11"/>
      <c r="X967" s="11"/>
      <c r="Y967" s="11"/>
      <c r="Z967" s="12"/>
      <c r="AA967" s="12"/>
      <c r="AB967" s="12"/>
      <c r="AC967" s="12"/>
      <c r="AD967" s="12"/>
      <c r="AE967" s="12"/>
      <c r="AF967" s="12"/>
    </row>
    <row r="968" ht="46.5" customHeight="1">
      <c r="A968" s="1"/>
      <c r="B968" s="2"/>
      <c r="C968" s="2"/>
      <c r="D968" s="3"/>
      <c r="E968" s="3"/>
      <c r="F968" s="3"/>
      <c r="G968" s="3"/>
      <c r="H968" s="4"/>
      <c r="I968" s="5"/>
      <c r="J968" s="6"/>
      <c r="K968" s="7"/>
      <c r="L968" s="8"/>
      <c r="M968" s="9"/>
      <c r="N968" s="9"/>
      <c r="O968" s="9"/>
      <c r="P968" s="10"/>
      <c r="Q968" s="11"/>
      <c r="R968" s="11"/>
      <c r="S968" s="11"/>
      <c r="T968" s="11"/>
      <c r="U968" s="11"/>
      <c r="V968" s="11"/>
      <c r="W968" s="11"/>
      <c r="X968" s="11"/>
      <c r="Y968" s="11"/>
      <c r="Z968" s="12"/>
      <c r="AA968" s="12"/>
      <c r="AB968" s="12"/>
      <c r="AC968" s="12"/>
      <c r="AD968" s="12"/>
      <c r="AE968" s="12"/>
      <c r="AF968" s="12"/>
    </row>
    <row r="969" ht="46.5" customHeight="1">
      <c r="A969" s="1"/>
      <c r="B969" s="2"/>
      <c r="C969" s="2"/>
      <c r="D969" s="3"/>
      <c r="E969" s="3"/>
      <c r="F969" s="3"/>
      <c r="G969" s="3"/>
      <c r="H969" s="4"/>
      <c r="I969" s="5"/>
      <c r="J969" s="6"/>
      <c r="K969" s="7"/>
      <c r="L969" s="8"/>
      <c r="M969" s="9"/>
      <c r="N969" s="9"/>
      <c r="O969" s="9"/>
      <c r="P969" s="10"/>
      <c r="Q969" s="11"/>
      <c r="R969" s="11"/>
      <c r="S969" s="11"/>
      <c r="T969" s="11"/>
      <c r="U969" s="11"/>
      <c r="V969" s="11"/>
      <c r="W969" s="11"/>
      <c r="X969" s="11"/>
      <c r="Y969" s="11"/>
      <c r="Z969" s="12"/>
      <c r="AA969" s="12"/>
      <c r="AB969" s="12"/>
      <c r="AC969" s="12"/>
      <c r="AD969" s="12"/>
      <c r="AE969" s="12"/>
      <c r="AF969" s="12"/>
    </row>
    <row r="970" ht="46.5" customHeight="1">
      <c r="A970" s="1"/>
      <c r="B970" s="2"/>
      <c r="C970" s="2"/>
      <c r="D970" s="3"/>
      <c r="E970" s="3"/>
      <c r="F970" s="3"/>
      <c r="G970" s="3"/>
      <c r="H970" s="4"/>
      <c r="I970" s="5"/>
      <c r="J970" s="6"/>
      <c r="K970" s="7"/>
      <c r="L970" s="8"/>
      <c r="M970" s="9"/>
      <c r="N970" s="9"/>
      <c r="O970" s="9"/>
      <c r="P970" s="10"/>
      <c r="Q970" s="11"/>
      <c r="R970" s="11"/>
      <c r="S970" s="11"/>
      <c r="T970" s="11"/>
      <c r="U970" s="11"/>
      <c r="V970" s="11"/>
      <c r="W970" s="11"/>
      <c r="X970" s="11"/>
      <c r="Y970" s="11"/>
      <c r="Z970" s="12"/>
      <c r="AA970" s="12"/>
      <c r="AB970" s="12"/>
      <c r="AC970" s="12"/>
      <c r="AD970" s="12"/>
      <c r="AE970" s="12"/>
      <c r="AF970" s="12"/>
    </row>
    <row r="971" ht="46.5" customHeight="1">
      <c r="A971" s="1"/>
      <c r="B971" s="2"/>
      <c r="C971" s="2"/>
      <c r="D971" s="3"/>
      <c r="E971" s="3"/>
      <c r="F971" s="3"/>
      <c r="G971" s="3"/>
      <c r="H971" s="4"/>
      <c r="I971" s="5"/>
      <c r="J971" s="6"/>
      <c r="K971" s="7"/>
      <c r="L971" s="8"/>
      <c r="M971" s="9"/>
      <c r="N971" s="9"/>
      <c r="O971" s="9"/>
      <c r="P971" s="10"/>
      <c r="Q971" s="11"/>
      <c r="R971" s="11"/>
      <c r="S971" s="11"/>
      <c r="T971" s="11"/>
      <c r="U971" s="11"/>
      <c r="V971" s="11"/>
      <c r="W971" s="11"/>
      <c r="X971" s="11"/>
      <c r="Y971" s="11"/>
      <c r="Z971" s="12"/>
      <c r="AA971" s="12"/>
      <c r="AB971" s="12"/>
      <c r="AC971" s="12"/>
      <c r="AD971" s="12"/>
      <c r="AE971" s="12"/>
      <c r="AF971" s="12"/>
    </row>
    <row r="972" ht="46.5" customHeight="1">
      <c r="A972" s="1"/>
      <c r="B972" s="2"/>
      <c r="C972" s="2"/>
      <c r="D972" s="3"/>
      <c r="E972" s="3"/>
      <c r="F972" s="3"/>
      <c r="G972" s="3"/>
      <c r="H972" s="4"/>
      <c r="I972" s="5"/>
      <c r="J972" s="6"/>
      <c r="K972" s="7"/>
      <c r="L972" s="8"/>
      <c r="M972" s="9"/>
      <c r="N972" s="9"/>
      <c r="O972" s="9"/>
      <c r="P972" s="10"/>
      <c r="Q972" s="11"/>
      <c r="R972" s="11"/>
      <c r="S972" s="11"/>
      <c r="T972" s="11"/>
      <c r="U972" s="11"/>
      <c r="V972" s="11"/>
      <c r="W972" s="11"/>
      <c r="X972" s="11"/>
      <c r="Y972" s="11"/>
      <c r="Z972" s="12"/>
      <c r="AA972" s="12"/>
      <c r="AB972" s="12"/>
      <c r="AC972" s="12"/>
      <c r="AD972" s="12"/>
      <c r="AE972" s="12"/>
      <c r="AF972" s="12"/>
    </row>
    <row r="973" ht="46.5" customHeight="1">
      <c r="A973" s="1"/>
      <c r="B973" s="2"/>
      <c r="C973" s="2"/>
      <c r="D973" s="3"/>
      <c r="E973" s="3"/>
      <c r="F973" s="3"/>
      <c r="G973" s="3"/>
      <c r="H973" s="4"/>
      <c r="I973" s="5"/>
      <c r="J973" s="6"/>
      <c r="K973" s="7"/>
      <c r="L973" s="8"/>
      <c r="M973" s="9"/>
      <c r="N973" s="9"/>
      <c r="O973" s="9"/>
      <c r="P973" s="10"/>
      <c r="Q973" s="11"/>
      <c r="R973" s="11"/>
      <c r="S973" s="11"/>
      <c r="T973" s="11"/>
      <c r="U973" s="11"/>
      <c r="V973" s="11"/>
      <c r="W973" s="11"/>
      <c r="X973" s="11"/>
      <c r="Y973" s="11"/>
      <c r="Z973" s="12"/>
      <c r="AA973" s="12"/>
      <c r="AB973" s="12"/>
      <c r="AC973" s="12"/>
      <c r="AD973" s="12"/>
      <c r="AE973" s="12"/>
      <c r="AF973" s="12"/>
    </row>
    <row r="974" ht="46.5" customHeight="1">
      <c r="A974" s="1"/>
      <c r="B974" s="2"/>
      <c r="C974" s="2"/>
      <c r="D974" s="3"/>
      <c r="E974" s="3"/>
      <c r="F974" s="3"/>
      <c r="G974" s="3"/>
      <c r="H974" s="4"/>
      <c r="I974" s="5"/>
      <c r="J974" s="6"/>
      <c r="K974" s="7"/>
      <c r="L974" s="8"/>
      <c r="M974" s="9"/>
      <c r="N974" s="9"/>
      <c r="O974" s="9"/>
      <c r="P974" s="10"/>
      <c r="Q974" s="11"/>
      <c r="R974" s="11"/>
      <c r="S974" s="11"/>
      <c r="T974" s="11"/>
      <c r="U974" s="11"/>
      <c r="V974" s="11"/>
      <c r="W974" s="11"/>
      <c r="X974" s="11"/>
      <c r="Y974" s="11"/>
      <c r="Z974" s="12"/>
      <c r="AA974" s="12"/>
      <c r="AB974" s="12"/>
      <c r="AC974" s="12"/>
      <c r="AD974" s="12"/>
      <c r="AE974" s="12"/>
      <c r="AF974" s="12"/>
    </row>
    <row r="975" ht="46.5" customHeight="1">
      <c r="A975" s="1"/>
      <c r="B975" s="2"/>
      <c r="C975" s="2"/>
      <c r="D975" s="3"/>
      <c r="E975" s="3"/>
      <c r="F975" s="3"/>
      <c r="G975" s="3"/>
      <c r="H975" s="4"/>
      <c r="I975" s="5"/>
      <c r="J975" s="6"/>
      <c r="K975" s="7"/>
      <c r="L975" s="8"/>
      <c r="M975" s="9"/>
      <c r="N975" s="9"/>
      <c r="O975" s="9"/>
      <c r="P975" s="10"/>
      <c r="Q975" s="11"/>
      <c r="R975" s="11"/>
      <c r="S975" s="11"/>
      <c r="T975" s="11"/>
      <c r="U975" s="11"/>
      <c r="V975" s="11"/>
      <c r="W975" s="11"/>
      <c r="X975" s="11"/>
      <c r="Y975" s="11"/>
      <c r="Z975" s="12"/>
      <c r="AA975" s="12"/>
      <c r="AB975" s="12"/>
      <c r="AC975" s="12"/>
      <c r="AD975" s="12"/>
      <c r="AE975" s="12"/>
      <c r="AF975" s="12"/>
    </row>
    <row r="976" ht="46.5" customHeight="1">
      <c r="A976" s="1"/>
      <c r="B976" s="2"/>
      <c r="C976" s="2"/>
      <c r="D976" s="3"/>
      <c r="E976" s="3"/>
      <c r="F976" s="3"/>
      <c r="G976" s="3"/>
      <c r="H976" s="4"/>
      <c r="I976" s="5"/>
      <c r="J976" s="6"/>
      <c r="K976" s="7"/>
      <c r="L976" s="8"/>
      <c r="M976" s="9"/>
      <c r="N976" s="9"/>
      <c r="O976" s="9"/>
      <c r="P976" s="10"/>
      <c r="Q976" s="11"/>
      <c r="R976" s="11"/>
      <c r="S976" s="11"/>
      <c r="T976" s="11"/>
      <c r="U976" s="11"/>
      <c r="V976" s="11"/>
      <c r="W976" s="11"/>
      <c r="X976" s="11"/>
      <c r="Y976" s="11"/>
      <c r="Z976" s="12"/>
      <c r="AA976" s="12"/>
      <c r="AB976" s="12"/>
      <c r="AC976" s="12"/>
      <c r="AD976" s="12"/>
      <c r="AE976" s="12"/>
      <c r="AF976" s="12"/>
    </row>
    <row r="977" ht="46.5" customHeight="1">
      <c r="A977" s="1"/>
      <c r="B977" s="2"/>
      <c r="C977" s="2"/>
      <c r="D977" s="3"/>
      <c r="E977" s="3"/>
      <c r="F977" s="3"/>
      <c r="G977" s="3"/>
      <c r="H977" s="4"/>
      <c r="I977" s="5"/>
      <c r="J977" s="6"/>
      <c r="K977" s="7"/>
      <c r="L977" s="8"/>
      <c r="M977" s="9"/>
      <c r="N977" s="9"/>
      <c r="O977" s="9"/>
      <c r="P977" s="10"/>
      <c r="Q977" s="11"/>
      <c r="R977" s="11"/>
      <c r="S977" s="11"/>
      <c r="T977" s="11"/>
      <c r="U977" s="11"/>
      <c r="V977" s="11"/>
      <c r="W977" s="11"/>
      <c r="X977" s="11"/>
      <c r="Y977" s="11"/>
      <c r="Z977" s="12"/>
      <c r="AA977" s="12"/>
      <c r="AB977" s="12"/>
      <c r="AC977" s="12"/>
      <c r="AD977" s="12"/>
      <c r="AE977" s="12"/>
      <c r="AF977" s="12"/>
    </row>
    <row r="978" ht="46.5" customHeight="1">
      <c r="A978" s="1"/>
      <c r="B978" s="2"/>
      <c r="C978" s="2"/>
      <c r="D978" s="3"/>
      <c r="E978" s="3"/>
      <c r="F978" s="3"/>
      <c r="G978" s="3"/>
      <c r="H978" s="4"/>
      <c r="I978" s="5"/>
      <c r="J978" s="6"/>
      <c r="K978" s="7"/>
      <c r="L978" s="8"/>
      <c r="M978" s="9"/>
      <c r="N978" s="9"/>
      <c r="O978" s="9"/>
      <c r="P978" s="10"/>
      <c r="Q978" s="11"/>
      <c r="R978" s="11"/>
      <c r="S978" s="11"/>
      <c r="T978" s="11"/>
      <c r="U978" s="11"/>
      <c r="V978" s="11"/>
      <c r="W978" s="11"/>
      <c r="X978" s="11"/>
      <c r="Y978" s="11"/>
      <c r="Z978" s="12"/>
      <c r="AA978" s="12"/>
      <c r="AB978" s="12"/>
      <c r="AC978" s="12"/>
      <c r="AD978" s="12"/>
      <c r="AE978" s="12"/>
      <c r="AF978" s="12"/>
    </row>
    <row r="979" ht="46.5" customHeight="1">
      <c r="A979" s="1"/>
      <c r="B979" s="2"/>
      <c r="C979" s="2"/>
      <c r="D979" s="3"/>
      <c r="E979" s="3"/>
      <c r="F979" s="3"/>
      <c r="G979" s="3"/>
      <c r="H979" s="4"/>
      <c r="I979" s="5"/>
      <c r="J979" s="6"/>
      <c r="K979" s="7"/>
      <c r="L979" s="8"/>
      <c r="M979" s="9"/>
      <c r="N979" s="9"/>
      <c r="O979" s="9"/>
      <c r="P979" s="10"/>
      <c r="Q979" s="11"/>
      <c r="R979" s="11"/>
      <c r="S979" s="11"/>
      <c r="T979" s="11"/>
      <c r="U979" s="11"/>
      <c r="V979" s="11"/>
      <c r="W979" s="11"/>
      <c r="X979" s="11"/>
      <c r="Y979" s="11"/>
      <c r="Z979" s="12"/>
      <c r="AA979" s="12"/>
      <c r="AB979" s="12"/>
      <c r="AC979" s="12"/>
      <c r="AD979" s="12"/>
      <c r="AE979" s="12"/>
      <c r="AF979" s="12"/>
    </row>
    <row r="980" ht="46.5" customHeight="1">
      <c r="A980" s="1"/>
      <c r="B980" s="2"/>
      <c r="C980" s="2"/>
      <c r="D980" s="3"/>
      <c r="E980" s="3"/>
      <c r="F980" s="3"/>
      <c r="G980" s="3"/>
      <c r="H980" s="4"/>
      <c r="I980" s="5"/>
      <c r="J980" s="6"/>
      <c r="K980" s="7"/>
      <c r="L980" s="8"/>
      <c r="M980" s="9"/>
      <c r="N980" s="9"/>
      <c r="O980" s="9"/>
      <c r="P980" s="10"/>
      <c r="Q980" s="11"/>
      <c r="R980" s="11"/>
      <c r="S980" s="11"/>
      <c r="T980" s="11"/>
      <c r="U980" s="11"/>
      <c r="V980" s="11"/>
      <c r="W980" s="11"/>
      <c r="X980" s="11"/>
      <c r="Y980" s="11"/>
      <c r="Z980" s="12"/>
      <c r="AA980" s="12"/>
      <c r="AB980" s="12"/>
      <c r="AC980" s="12"/>
      <c r="AD980" s="12"/>
      <c r="AE980" s="12"/>
      <c r="AF980" s="12"/>
    </row>
    <row r="981" ht="46.5" customHeight="1">
      <c r="A981" s="1"/>
      <c r="B981" s="2"/>
      <c r="C981" s="2"/>
      <c r="D981" s="3"/>
      <c r="E981" s="3"/>
      <c r="F981" s="3"/>
      <c r="G981" s="3"/>
      <c r="H981" s="4"/>
      <c r="I981" s="5"/>
      <c r="J981" s="6"/>
      <c r="K981" s="7"/>
      <c r="L981" s="8"/>
      <c r="M981" s="9"/>
      <c r="N981" s="9"/>
      <c r="O981" s="9"/>
      <c r="P981" s="10"/>
      <c r="Q981" s="11"/>
      <c r="R981" s="11"/>
      <c r="S981" s="11"/>
      <c r="T981" s="11"/>
      <c r="U981" s="11"/>
      <c r="V981" s="11"/>
      <c r="W981" s="11"/>
      <c r="X981" s="11"/>
      <c r="Y981" s="11"/>
      <c r="Z981" s="12"/>
      <c r="AA981" s="12"/>
      <c r="AB981" s="12"/>
      <c r="AC981" s="12"/>
      <c r="AD981" s="12"/>
      <c r="AE981" s="12"/>
      <c r="AF981" s="12"/>
    </row>
    <row r="982" ht="46.5" customHeight="1">
      <c r="A982" s="1"/>
      <c r="B982" s="2"/>
      <c r="C982" s="2"/>
      <c r="D982" s="3"/>
      <c r="E982" s="3"/>
      <c r="F982" s="3"/>
      <c r="G982" s="3"/>
      <c r="H982" s="4"/>
      <c r="I982" s="5"/>
      <c r="J982" s="6"/>
      <c r="K982" s="7"/>
      <c r="L982" s="8"/>
      <c r="M982" s="9"/>
      <c r="N982" s="9"/>
      <c r="O982" s="9"/>
      <c r="P982" s="10"/>
      <c r="Q982" s="11"/>
      <c r="R982" s="11"/>
      <c r="S982" s="11"/>
      <c r="T982" s="11"/>
      <c r="U982" s="11"/>
      <c r="V982" s="11"/>
      <c r="W982" s="11"/>
      <c r="X982" s="11"/>
      <c r="Y982" s="11"/>
      <c r="Z982" s="12"/>
      <c r="AA982" s="12"/>
      <c r="AB982" s="12"/>
      <c r="AC982" s="12"/>
      <c r="AD982" s="12"/>
      <c r="AE982" s="12"/>
      <c r="AF982" s="12"/>
    </row>
    <row r="983" ht="46.5" customHeight="1">
      <c r="A983" s="1"/>
      <c r="B983" s="2"/>
      <c r="C983" s="2"/>
      <c r="D983" s="3"/>
      <c r="E983" s="3"/>
      <c r="F983" s="3"/>
      <c r="G983" s="3"/>
      <c r="H983" s="4"/>
      <c r="I983" s="5"/>
      <c r="J983" s="6"/>
      <c r="K983" s="7"/>
      <c r="L983" s="8"/>
      <c r="M983" s="9"/>
      <c r="N983" s="9"/>
      <c r="O983" s="9"/>
      <c r="P983" s="10"/>
      <c r="Q983" s="11"/>
      <c r="R983" s="11"/>
      <c r="S983" s="11"/>
      <c r="T983" s="11"/>
      <c r="U983" s="11"/>
      <c r="V983" s="11"/>
      <c r="W983" s="11"/>
      <c r="X983" s="11"/>
      <c r="Y983" s="11"/>
      <c r="Z983" s="12"/>
      <c r="AA983" s="12"/>
      <c r="AB983" s="12"/>
      <c r="AC983" s="12"/>
      <c r="AD983" s="12"/>
      <c r="AE983" s="12"/>
      <c r="AF983" s="12"/>
    </row>
    <row r="984" ht="46.5" customHeight="1">
      <c r="A984" s="1"/>
      <c r="B984" s="2"/>
      <c r="C984" s="2"/>
      <c r="D984" s="3"/>
      <c r="E984" s="3"/>
      <c r="F984" s="3"/>
      <c r="G984" s="3"/>
      <c r="H984" s="4"/>
      <c r="I984" s="5"/>
      <c r="J984" s="6"/>
      <c r="K984" s="7"/>
      <c r="L984" s="8"/>
      <c r="M984" s="9"/>
      <c r="N984" s="9"/>
      <c r="O984" s="9"/>
      <c r="P984" s="10"/>
      <c r="Q984" s="11"/>
      <c r="R984" s="11"/>
      <c r="S984" s="11"/>
      <c r="T984" s="11"/>
      <c r="U984" s="11"/>
      <c r="V984" s="11"/>
      <c r="W984" s="11"/>
      <c r="X984" s="11"/>
      <c r="Y984" s="11"/>
      <c r="Z984" s="12"/>
      <c r="AA984" s="12"/>
      <c r="AB984" s="12"/>
      <c r="AC984" s="12"/>
      <c r="AD984" s="12"/>
      <c r="AE984" s="12"/>
      <c r="AF984" s="12"/>
    </row>
    <row r="985" ht="46.5" customHeight="1">
      <c r="A985" s="1"/>
      <c r="B985" s="2"/>
      <c r="C985" s="2"/>
      <c r="D985" s="3"/>
      <c r="E985" s="3"/>
      <c r="F985" s="3"/>
      <c r="G985" s="3"/>
      <c r="H985" s="4"/>
      <c r="I985" s="5"/>
      <c r="J985" s="6"/>
      <c r="K985" s="7"/>
      <c r="L985" s="8"/>
      <c r="M985" s="9"/>
      <c r="N985" s="9"/>
      <c r="O985" s="9"/>
      <c r="P985" s="10"/>
      <c r="Q985" s="11"/>
      <c r="R985" s="11"/>
      <c r="S985" s="11"/>
      <c r="T985" s="11"/>
      <c r="U985" s="11"/>
      <c r="V985" s="11"/>
      <c r="W985" s="11"/>
      <c r="X985" s="11"/>
      <c r="Y985" s="11"/>
      <c r="Z985" s="12"/>
      <c r="AA985" s="12"/>
      <c r="AB985" s="12"/>
      <c r="AC985" s="12"/>
      <c r="AD985" s="12"/>
      <c r="AE985" s="12"/>
      <c r="AF985" s="12"/>
    </row>
    <row r="986" ht="46.5" customHeight="1">
      <c r="A986" s="1"/>
      <c r="B986" s="2"/>
      <c r="C986" s="2"/>
      <c r="D986" s="3"/>
      <c r="E986" s="3"/>
      <c r="F986" s="3"/>
      <c r="G986" s="3"/>
      <c r="H986" s="4"/>
      <c r="I986" s="5"/>
      <c r="J986" s="6"/>
      <c r="K986" s="7"/>
      <c r="L986" s="8"/>
      <c r="M986" s="9"/>
      <c r="N986" s="9"/>
      <c r="O986" s="9"/>
      <c r="P986" s="10"/>
      <c r="Q986" s="11"/>
      <c r="R986" s="11"/>
      <c r="S986" s="11"/>
      <c r="T986" s="11"/>
      <c r="U986" s="11"/>
      <c r="V986" s="11"/>
      <c r="W986" s="11"/>
      <c r="X986" s="11"/>
      <c r="Y986" s="11"/>
      <c r="Z986" s="12"/>
      <c r="AA986" s="12"/>
      <c r="AB986" s="12"/>
      <c r="AC986" s="12"/>
      <c r="AD986" s="12"/>
      <c r="AE986" s="12"/>
      <c r="AF986" s="12"/>
    </row>
    <row r="987" ht="46.5" customHeight="1">
      <c r="A987" s="1"/>
      <c r="B987" s="2"/>
      <c r="C987" s="2"/>
      <c r="D987" s="3"/>
      <c r="E987" s="3"/>
      <c r="F987" s="3"/>
      <c r="G987" s="3"/>
      <c r="H987" s="4"/>
      <c r="I987" s="5"/>
      <c r="J987" s="6"/>
      <c r="K987" s="7"/>
      <c r="L987" s="8"/>
      <c r="M987" s="9"/>
      <c r="N987" s="9"/>
      <c r="O987" s="9"/>
      <c r="P987" s="10"/>
      <c r="Q987" s="11"/>
      <c r="R987" s="11"/>
      <c r="S987" s="11"/>
      <c r="T987" s="11"/>
      <c r="U987" s="11"/>
      <c r="V987" s="11"/>
      <c r="W987" s="11"/>
      <c r="X987" s="11"/>
      <c r="Y987" s="11"/>
      <c r="Z987" s="12"/>
      <c r="AA987" s="12"/>
      <c r="AB987" s="12"/>
      <c r="AC987" s="12"/>
      <c r="AD987" s="12"/>
      <c r="AE987" s="12"/>
      <c r="AF987" s="12"/>
    </row>
    <row r="988" ht="46.5" customHeight="1">
      <c r="A988" s="1"/>
      <c r="B988" s="2"/>
      <c r="C988" s="2"/>
      <c r="D988" s="3"/>
      <c r="E988" s="3"/>
      <c r="F988" s="3"/>
      <c r="G988" s="3"/>
      <c r="H988" s="4"/>
      <c r="I988" s="5"/>
      <c r="J988" s="6"/>
      <c r="K988" s="7"/>
      <c r="L988" s="8"/>
      <c r="M988" s="9"/>
      <c r="N988" s="9"/>
      <c r="O988" s="9"/>
      <c r="P988" s="10"/>
      <c r="Q988" s="11"/>
      <c r="R988" s="11"/>
      <c r="S988" s="11"/>
      <c r="T988" s="11"/>
      <c r="U988" s="11"/>
      <c r="V988" s="11"/>
      <c r="W988" s="11"/>
      <c r="X988" s="11"/>
      <c r="Y988" s="11"/>
      <c r="Z988" s="12"/>
      <c r="AA988" s="12"/>
      <c r="AB988" s="12"/>
      <c r="AC988" s="12"/>
      <c r="AD988" s="12"/>
      <c r="AE988" s="12"/>
      <c r="AF988" s="12"/>
    </row>
    <row r="989" ht="46.5" customHeight="1">
      <c r="A989" s="1"/>
      <c r="B989" s="2"/>
      <c r="C989" s="2"/>
      <c r="D989" s="3"/>
      <c r="E989" s="3"/>
      <c r="F989" s="3"/>
      <c r="G989" s="3"/>
      <c r="H989" s="4"/>
      <c r="I989" s="5"/>
      <c r="J989" s="6"/>
      <c r="K989" s="7"/>
      <c r="L989" s="8"/>
      <c r="M989" s="9"/>
      <c r="N989" s="9"/>
      <c r="O989" s="9"/>
      <c r="P989" s="10"/>
      <c r="Q989" s="11"/>
      <c r="R989" s="11"/>
      <c r="S989" s="11"/>
      <c r="T989" s="11"/>
      <c r="U989" s="11"/>
      <c r="V989" s="11"/>
      <c r="W989" s="11"/>
      <c r="X989" s="11"/>
      <c r="Y989" s="11"/>
      <c r="Z989" s="12"/>
      <c r="AA989" s="12"/>
      <c r="AB989" s="12"/>
      <c r="AC989" s="12"/>
      <c r="AD989" s="12"/>
      <c r="AE989" s="12"/>
      <c r="AF989" s="12"/>
    </row>
    <row r="990" ht="46.5" customHeight="1">
      <c r="A990" s="1"/>
      <c r="B990" s="2"/>
      <c r="C990" s="2"/>
      <c r="D990" s="3"/>
      <c r="E990" s="3"/>
      <c r="F990" s="3"/>
      <c r="G990" s="3"/>
      <c r="H990" s="4"/>
      <c r="I990" s="5"/>
      <c r="J990" s="6"/>
      <c r="K990" s="7"/>
      <c r="L990" s="8"/>
      <c r="M990" s="9"/>
      <c r="N990" s="9"/>
      <c r="O990" s="9"/>
      <c r="P990" s="10"/>
      <c r="Q990" s="11"/>
      <c r="R990" s="11"/>
      <c r="S990" s="11"/>
      <c r="T990" s="11"/>
      <c r="U990" s="11"/>
      <c r="V990" s="11"/>
      <c r="W990" s="11"/>
      <c r="X990" s="11"/>
      <c r="Y990" s="11"/>
      <c r="Z990" s="12"/>
      <c r="AA990" s="12"/>
      <c r="AB990" s="12"/>
      <c r="AC990" s="12"/>
      <c r="AD990" s="12"/>
      <c r="AE990" s="12"/>
      <c r="AF990" s="12"/>
    </row>
    <row r="991" ht="46.5" customHeight="1">
      <c r="A991" s="1"/>
      <c r="B991" s="2"/>
      <c r="C991" s="2"/>
      <c r="D991" s="3"/>
      <c r="E991" s="3"/>
      <c r="F991" s="3"/>
      <c r="G991" s="3"/>
      <c r="H991" s="4"/>
      <c r="I991" s="5"/>
      <c r="J991" s="6"/>
      <c r="K991" s="7"/>
      <c r="L991" s="8"/>
      <c r="M991" s="9"/>
      <c r="N991" s="9"/>
      <c r="O991" s="9"/>
      <c r="P991" s="10"/>
      <c r="Q991" s="11"/>
      <c r="R991" s="11"/>
      <c r="S991" s="11"/>
      <c r="T991" s="11"/>
      <c r="U991" s="11"/>
      <c r="V991" s="11"/>
      <c r="W991" s="11"/>
      <c r="X991" s="11"/>
      <c r="Y991" s="11"/>
      <c r="Z991" s="12"/>
      <c r="AA991" s="12"/>
      <c r="AB991" s="12"/>
      <c r="AC991" s="12"/>
      <c r="AD991" s="12"/>
      <c r="AE991" s="12"/>
      <c r="AF991" s="12"/>
    </row>
    <row r="992" ht="46.5" customHeight="1">
      <c r="A992" s="1"/>
      <c r="B992" s="2"/>
      <c r="C992" s="2"/>
      <c r="D992" s="3"/>
      <c r="E992" s="3"/>
      <c r="F992" s="3"/>
      <c r="G992" s="3"/>
      <c r="H992" s="4"/>
      <c r="I992" s="5"/>
      <c r="J992" s="6"/>
      <c r="K992" s="7"/>
      <c r="L992" s="8"/>
      <c r="M992" s="9"/>
      <c r="N992" s="9"/>
      <c r="O992" s="9"/>
      <c r="P992" s="10"/>
      <c r="Q992" s="11"/>
      <c r="R992" s="11"/>
      <c r="S992" s="11"/>
      <c r="T992" s="11"/>
      <c r="U992" s="11"/>
      <c r="V992" s="11"/>
      <c r="W992" s="11"/>
      <c r="X992" s="11"/>
      <c r="Y992" s="11"/>
      <c r="Z992" s="12"/>
      <c r="AA992" s="12"/>
      <c r="AB992" s="12"/>
      <c r="AC992" s="12"/>
      <c r="AD992" s="12"/>
      <c r="AE992" s="12"/>
      <c r="AF992" s="12"/>
    </row>
    <row r="993" ht="46.5" customHeight="1">
      <c r="A993" s="1"/>
      <c r="B993" s="2"/>
      <c r="C993" s="2"/>
      <c r="D993" s="3"/>
      <c r="E993" s="3"/>
      <c r="F993" s="3"/>
      <c r="G993" s="3"/>
      <c r="H993" s="4"/>
      <c r="I993" s="5"/>
      <c r="J993" s="6"/>
      <c r="K993" s="7"/>
      <c r="L993" s="8"/>
      <c r="M993" s="9"/>
      <c r="N993" s="9"/>
      <c r="O993" s="9"/>
      <c r="P993" s="10"/>
      <c r="Q993" s="11"/>
      <c r="R993" s="11"/>
      <c r="S993" s="11"/>
      <c r="T993" s="11"/>
      <c r="U993" s="11"/>
      <c r="V993" s="11"/>
      <c r="W993" s="11"/>
      <c r="X993" s="11"/>
      <c r="Y993" s="11"/>
      <c r="Z993" s="12"/>
      <c r="AA993" s="12"/>
      <c r="AB993" s="12"/>
      <c r="AC993" s="12"/>
      <c r="AD993" s="12"/>
      <c r="AE993" s="12"/>
      <c r="AF993" s="12"/>
    </row>
    <row r="994" ht="46.5" customHeight="1">
      <c r="A994" s="1"/>
      <c r="B994" s="2"/>
      <c r="C994" s="2"/>
      <c r="D994" s="3"/>
      <c r="E994" s="3"/>
      <c r="F994" s="3"/>
      <c r="G994" s="3"/>
      <c r="H994" s="4"/>
      <c r="I994" s="5"/>
      <c r="J994" s="6"/>
      <c r="K994" s="7"/>
      <c r="L994" s="8"/>
      <c r="M994" s="9"/>
      <c r="N994" s="9"/>
      <c r="O994" s="9"/>
      <c r="P994" s="10"/>
      <c r="Q994" s="11"/>
      <c r="R994" s="11"/>
      <c r="S994" s="11"/>
      <c r="T994" s="11"/>
      <c r="U994" s="11"/>
      <c r="V994" s="11"/>
      <c r="W994" s="11"/>
      <c r="X994" s="11"/>
      <c r="Y994" s="11"/>
      <c r="Z994" s="12"/>
      <c r="AA994" s="12"/>
      <c r="AB994" s="12"/>
      <c r="AC994" s="12"/>
      <c r="AD994" s="12"/>
      <c r="AE994" s="12"/>
      <c r="AF994" s="12"/>
    </row>
    <row r="995" ht="46.5" customHeight="1">
      <c r="A995" s="1"/>
      <c r="B995" s="2"/>
      <c r="C995" s="2"/>
      <c r="D995" s="3"/>
      <c r="E995" s="3"/>
      <c r="F995" s="3"/>
      <c r="G995" s="3"/>
      <c r="H995" s="4"/>
      <c r="I995" s="5"/>
      <c r="J995" s="6"/>
      <c r="K995" s="7"/>
      <c r="L995" s="8"/>
      <c r="M995" s="9"/>
      <c r="N995" s="9"/>
      <c r="O995" s="9"/>
      <c r="P995" s="10"/>
      <c r="Q995" s="11"/>
      <c r="R995" s="11"/>
      <c r="S995" s="11"/>
      <c r="T995" s="11"/>
      <c r="U995" s="11"/>
      <c r="V995" s="11"/>
      <c r="W995" s="11"/>
      <c r="X995" s="11"/>
      <c r="Y995" s="11"/>
      <c r="Z995" s="12"/>
      <c r="AA995" s="12"/>
      <c r="AB995" s="12"/>
      <c r="AC995" s="12"/>
      <c r="AD995" s="12"/>
      <c r="AE995" s="12"/>
      <c r="AF995" s="12"/>
    </row>
    <row r="996" ht="46.5" customHeight="1">
      <c r="A996" s="1"/>
      <c r="B996" s="2"/>
      <c r="C996" s="2"/>
      <c r="D996" s="3"/>
      <c r="E996" s="3"/>
      <c r="F996" s="3"/>
      <c r="G996" s="3"/>
      <c r="H996" s="4"/>
      <c r="I996" s="5"/>
      <c r="J996" s="6"/>
      <c r="K996" s="7"/>
      <c r="L996" s="8"/>
      <c r="M996" s="9"/>
      <c r="N996" s="9"/>
      <c r="O996" s="9"/>
      <c r="P996" s="10"/>
      <c r="Q996" s="11"/>
      <c r="R996" s="11"/>
      <c r="S996" s="11"/>
      <c r="T996" s="11"/>
      <c r="U996" s="11"/>
      <c r="V996" s="11"/>
      <c r="W996" s="11"/>
      <c r="X996" s="11"/>
      <c r="Y996" s="11"/>
      <c r="Z996" s="12"/>
      <c r="AA996" s="12"/>
      <c r="AB996" s="12"/>
      <c r="AC996" s="12"/>
      <c r="AD996" s="12"/>
      <c r="AE996" s="12"/>
      <c r="AF996" s="12"/>
    </row>
    <row r="997" ht="46.5" customHeight="1">
      <c r="A997" s="1"/>
      <c r="B997" s="2"/>
      <c r="C997" s="2"/>
      <c r="D997" s="3"/>
      <c r="E997" s="3"/>
      <c r="F997" s="3"/>
      <c r="G997" s="3"/>
      <c r="H997" s="4"/>
      <c r="I997" s="5"/>
      <c r="J997" s="6"/>
      <c r="K997" s="7"/>
      <c r="L997" s="8"/>
      <c r="M997" s="9"/>
      <c r="N997" s="9"/>
      <c r="O997" s="9"/>
      <c r="P997" s="10"/>
      <c r="Q997" s="11"/>
      <c r="R997" s="11"/>
      <c r="S997" s="11"/>
      <c r="T997" s="11"/>
      <c r="U997" s="11"/>
      <c r="V997" s="11"/>
      <c r="W997" s="11"/>
      <c r="X997" s="11"/>
      <c r="Y997" s="11"/>
      <c r="Z997" s="12"/>
      <c r="AA997" s="12"/>
      <c r="AB997" s="12"/>
      <c r="AC997" s="12"/>
      <c r="AD997" s="12"/>
      <c r="AE997" s="12"/>
      <c r="AF997" s="12"/>
    </row>
    <row r="998" ht="46.5" customHeight="1">
      <c r="A998" s="1"/>
      <c r="B998" s="2"/>
      <c r="C998" s="2"/>
      <c r="D998" s="3"/>
      <c r="E998" s="3"/>
      <c r="F998" s="3"/>
      <c r="G998" s="3"/>
      <c r="H998" s="4"/>
      <c r="I998" s="5"/>
      <c r="J998" s="6"/>
      <c r="K998" s="7"/>
      <c r="L998" s="8"/>
      <c r="M998" s="9"/>
      <c r="N998" s="9"/>
      <c r="O998" s="9"/>
      <c r="P998" s="10"/>
      <c r="Q998" s="11"/>
      <c r="R998" s="11"/>
      <c r="S998" s="11"/>
      <c r="T998" s="11"/>
      <c r="U998" s="11"/>
      <c r="V998" s="11"/>
      <c r="W998" s="11"/>
      <c r="X998" s="11"/>
      <c r="Y998" s="11"/>
      <c r="Z998" s="12"/>
      <c r="AA998" s="12"/>
      <c r="AB998" s="12"/>
      <c r="AC998" s="12"/>
      <c r="AD998" s="12"/>
      <c r="AE998" s="12"/>
      <c r="AF998" s="12"/>
    </row>
    <row r="999" ht="46.5" customHeight="1">
      <c r="A999" s="1"/>
      <c r="B999" s="2"/>
      <c r="C999" s="2"/>
      <c r="D999" s="3"/>
      <c r="E999" s="3"/>
      <c r="F999" s="3"/>
      <c r="G999" s="3"/>
      <c r="H999" s="4"/>
      <c r="I999" s="5"/>
      <c r="J999" s="6"/>
      <c r="K999" s="7"/>
      <c r="L999" s="8"/>
      <c r="M999" s="9"/>
      <c r="N999" s="9"/>
      <c r="O999" s="9"/>
      <c r="P999" s="10"/>
      <c r="Q999" s="11"/>
      <c r="R999" s="11"/>
      <c r="S999" s="11"/>
      <c r="T999" s="11"/>
      <c r="U999" s="11"/>
      <c r="V999" s="11"/>
      <c r="W999" s="11"/>
      <c r="X999" s="11"/>
      <c r="Y999" s="11"/>
      <c r="Z999" s="12"/>
      <c r="AA999" s="12"/>
      <c r="AB999" s="12"/>
      <c r="AC999" s="12"/>
      <c r="AD999" s="12"/>
      <c r="AE999" s="12"/>
      <c r="AF999" s="12"/>
    </row>
    <row r="1000" ht="46.5" customHeight="1">
      <c r="A1000" s="1"/>
      <c r="B1000" s="2"/>
      <c r="C1000" s="2"/>
      <c r="D1000" s="3"/>
      <c r="E1000" s="3"/>
      <c r="F1000" s="3"/>
      <c r="G1000" s="3"/>
      <c r="H1000" s="4"/>
      <c r="I1000" s="5"/>
      <c r="J1000" s="6"/>
      <c r="K1000" s="7"/>
      <c r="L1000" s="8"/>
      <c r="M1000" s="9"/>
      <c r="N1000" s="9"/>
      <c r="O1000" s="9"/>
      <c r="P1000" s="10"/>
      <c r="Q1000" s="11"/>
      <c r="R1000" s="11"/>
      <c r="S1000" s="11"/>
      <c r="T1000" s="11"/>
      <c r="U1000" s="11"/>
      <c r="V1000" s="11"/>
      <c r="W1000" s="11"/>
      <c r="X1000" s="11"/>
      <c r="Y1000" s="11"/>
      <c r="Z1000" s="12"/>
      <c r="AA1000" s="12"/>
      <c r="AB1000" s="12"/>
      <c r="AC1000" s="12"/>
      <c r="AD1000" s="12"/>
      <c r="AE1000" s="12"/>
      <c r="AF1000" s="12"/>
    </row>
  </sheetData>
  <mergeCells count="1">
    <mergeCell ref="H2:I2"/>
  </mergeCells>
  <dataValidations>
    <dataValidation type="list" allowBlank="1" showErrorMessage="1" sqref="K4:L4 K31:L31">
      <formula1>Currency</formula1>
    </dataValidation>
  </dataValidations>
  <hyperlinks>
    <hyperlink r:id="rId1" ref="J6"/>
    <hyperlink r:id="rId2" ref="J7"/>
    <hyperlink r:id="rId3" ref="J8"/>
    <hyperlink r:id="rId4" ref="J9"/>
    <hyperlink r:id="rId5" ref="J10"/>
    <hyperlink r:id="rId6" ref="J11"/>
    <hyperlink r:id="rId7" ref="J12"/>
    <hyperlink r:id="rId8" ref="J13"/>
    <hyperlink r:id="rId9" ref="J14"/>
    <hyperlink r:id="rId10" ref="J15"/>
    <hyperlink r:id="rId11" ref="J16"/>
    <hyperlink r:id="rId12" ref="J17"/>
    <hyperlink r:id="rId13" ref="J18"/>
    <hyperlink r:id="rId14" ref="J19"/>
    <hyperlink r:id="rId15" ref="J20"/>
    <hyperlink r:id="rId16" ref="J21"/>
    <hyperlink r:id="rId17" ref="J22"/>
    <hyperlink r:id="rId18" ref="J23"/>
    <hyperlink r:id="rId19" ref="J24"/>
    <hyperlink r:id="rId20" ref="J25"/>
    <hyperlink r:id="rId21" ref="J26"/>
    <hyperlink r:id="rId22" ref="J27"/>
  </hyperlinks>
  <printOptions horizontalCentered="1"/>
  <pageMargins bottom="0.4" footer="0.0" header="0.0" left="0.05" right="0.05" top="0.08"/>
  <pageSetup paperSize="9" orientation="portrait"/>
  <drawing r:id="rId2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4.43" defaultRowHeight="15.0" outlineLevelCol="1"/>
  <cols>
    <col customWidth="1" min="1" max="1" width="3.29"/>
    <col customWidth="1" min="2" max="2" width="36.57"/>
    <col customWidth="1" min="3" max="3" width="38.86"/>
    <col customWidth="1" min="4" max="4" width="46.86"/>
    <col customWidth="1" hidden="1" min="5" max="7" width="16.71" outlineLevel="1"/>
    <col customWidth="1" hidden="1" min="8" max="8" width="43.71" outlineLevel="1"/>
    <col customWidth="1" min="9" max="10" width="131.71"/>
    <col customWidth="1" min="11" max="12" width="16.71"/>
    <col customWidth="1" min="13" max="13" width="7.71"/>
    <col customWidth="1" min="14" max="14" width="17.71"/>
    <col customWidth="1" min="15" max="42" width="8.71"/>
  </cols>
  <sheetData>
    <row r="1" ht="15.0" customHeight="1">
      <c r="A1" s="1"/>
      <c r="B1" s="2"/>
      <c r="C1" s="2"/>
      <c r="D1" s="3"/>
      <c r="E1" s="3"/>
      <c r="F1" s="3"/>
      <c r="G1" s="3"/>
      <c r="H1" s="4"/>
      <c r="I1" s="5"/>
      <c r="J1" s="5"/>
      <c r="K1" s="6"/>
      <c r="L1" s="7"/>
      <c r="M1" s="57"/>
      <c r="N1" s="57"/>
      <c r="O1" s="58"/>
      <c r="P1" s="11"/>
      <c r="Q1" s="9"/>
      <c r="R1" s="59"/>
      <c r="S1" s="59"/>
      <c r="T1" s="59"/>
      <c r="U1" s="9"/>
      <c r="V1" s="9"/>
      <c r="W1" s="9"/>
      <c r="X1" s="9"/>
      <c r="Y1" s="9"/>
      <c r="Z1" s="9"/>
      <c r="AA1" s="9"/>
      <c r="AB1" s="9"/>
      <c r="AC1" s="60"/>
      <c r="AD1" s="61"/>
      <c r="AE1" s="61"/>
      <c r="AF1" s="61"/>
      <c r="AG1" s="61"/>
      <c r="AH1" s="61"/>
      <c r="AI1" s="61"/>
      <c r="AJ1" s="61"/>
      <c r="AK1" s="61"/>
      <c r="AL1" s="61"/>
      <c r="AM1" s="61"/>
      <c r="AN1" s="61"/>
      <c r="AO1" s="61"/>
      <c r="AP1" s="61"/>
    </row>
    <row r="2" ht="46.5" customHeight="1">
      <c r="A2" s="1"/>
      <c r="B2" s="62"/>
      <c r="C2" s="63"/>
      <c r="D2" s="14"/>
      <c r="E2" s="3"/>
      <c r="F2" s="3"/>
      <c r="G2" s="64"/>
      <c r="H2" s="4"/>
      <c r="I2" s="65"/>
      <c r="J2" s="65"/>
      <c r="K2" s="6"/>
      <c r="L2" s="66"/>
      <c r="M2" s="57"/>
      <c r="N2" s="67" t="s">
        <v>110</v>
      </c>
      <c r="O2" s="9"/>
      <c r="P2" s="11"/>
      <c r="Q2" s="59"/>
      <c r="R2" s="59"/>
      <c r="S2" s="68"/>
      <c r="T2" s="35"/>
      <c r="U2" s="35"/>
      <c r="V2" s="9"/>
      <c r="W2" s="9"/>
      <c r="X2" s="9"/>
      <c r="Y2" s="9"/>
      <c r="Z2" s="9"/>
      <c r="AA2" s="9"/>
      <c r="AB2" s="46"/>
      <c r="AC2" s="61"/>
      <c r="AD2" s="61"/>
      <c r="AE2" s="61"/>
      <c r="AF2" s="61"/>
      <c r="AG2" s="61"/>
      <c r="AH2" s="61"/>
      <c r="AI2" s="61"/>
      <c r="AJ2" s="61"/>
      <c r="AK2" s="61"/>
      <c r="AL2" s="61"/>
      <c r="AM2" s="61"/>
      <c r="AN2" s="61"/>
      <c r="AO2" s="61"/>
      <c r="AP2" s="61"/>
    </row>
    <row r="3" ht="46.5" customHeight="1">
      <c r="A3" s="1"/>
      <c r="B3" s="5"/>
      <c r="C3" s="2"/>
      <c r="D3" s="2"/>
      <c r="E3" s="23"/>
      <c r="F3" s="23"/>
      <c r="G3" s="23"/>
      <c r="H3" s="24"/>
      <c r="I3" s="25"/>
      <c r="J3" s="25"/>
      <c r="K3" s="26"/>
      <c r="L3" s="27" t="s">
        <v>2</v>
      </c>
      <c r="M3" s="57"/>
      <c r="N3" s="57"/>
      <c r="O3" s="9"/>
      <c r="P3" s="11"/>
      <c r="Q3" s="9"/>
      <c r="R3" s="68"/>
      <c r="S3" s="59"/>
      <c r="T3" s="68"/>
      <c r="U3" s="9"/>
      <c r="V3" s="9"/>
      <c r="W3" s="9"/>
      <c r="X3" s="9"/>
      <c r="Y3" s="9"/>
      <c r="Z3" s="9"/>
      <c r="AA3" s="9"/>
      <c r="AB3" s="9"/>
      <c r="AC3" s="60"/>
      <c r="AD3" s="61"/>
      <c r="AE3" s="61"/>
      <c r="AF3" s="61"/>
      <c r="AG3" s="61"/>
      <c r="AH3" s="61"/>
      <c r="AI3" s="61"/>
      <c r="AJ3" s="61"/>
      <c r="AK3" s="61"/>
      <c r="AL3" s="61"/>
      <c r="AM3" s="61"/>
      <c r="AN3" s="61"/>
      <c r="AO3" s="61"/>
      <c r="AP3" s="61"/>
    </row>
    <row r="4" ht="30.0" customHeight="1">
      <c r="A4" s="1"/>
      <c r="B4" s="69"/>
      <c r="C4" s="70"/>
      <c r="D4" s="70"/>
      <c r="E4" s="70"/>
      <c r="F4" s="70"/>
      <c r="G4" s="70"/>
      <c r="H4" s="70"/>
      <c r="I4" s="69"/>
      <c r="J4" s="69"/>
      <c r="K4" s="69"/>
      <c r="L4" s="69" t="s">
        <v>2</v>
      </c>
      <c r="M4" s="69"/>
      <c r="N4" s="71" t="s">
        <v>12</v>
      </c>
      <c r="O4" s="72"/>
      <c r="P4" s="11"/>
      <c r="Q4" s="9"/>
      <c r="R4" s="68"/>
      <c r="S4" s="73"/>
      <c r="T4" s="74" t="s">
        <v>111</v>
      </c>
      <c r="U4" s="75"/>
      <c r="V4" s="74" t="s">
        <v>110</v>
      </c>
      <c r="W4" s="9"/>
      <c r="X4" s="9"/>
      <c r="Y4" s="9"/>
      <c r="Z4" s="9"/>
      <c r="AA4" s="9"/>
      <c r="AB4" s="9"/>
      <c r="AC4" s="60"/>
      <c r="AD4" s="61"/>
      <c r="AE4" s="61"/>
      <c r="AF4" s="61"/>
      <c r="AG4" s="61"/>
      <c r="AH4" s="61"/>
      <c r="AI4" s="61"/>
      <c r="AJ4" s="61"/>
      <c r="AK4" s="61"/>
      <c r="AL4" s="61"/>
      <c r="AM4" s="61"/>
      <c r="AN4" s="61"/>
      <c r="AO4" s="61"/>
      <c r="AP4" s="61"/>
    </row>
    <row r="5" ht="30.0" customHeight="1">
      <c r="A5" s="1"/>
      <c r="B5" s="76"/>
      <c r="C5" s="77"/>
      <c r="D5" s="77"/>
      <c r="E5" s="77"/>
      <c r="F5" s="77"/>
      <c r="G5" s="77"/>
      <c r="H5" s="77"/>
      <c r="I5" s="76"/>
      <c r="J5" s="76"/>
      <c r="K5" s="76"/>
      <c r="L5" s="76"/>
      <c r="M5" s="76"/>
      <c r="N5" s="78"/>
      <c r="O5" s="72"/>
      <c r="P5" s="11"/>
      <c r="Q5" s="9"/>
      <c r="R5" s="68"/>
      <c r="S5" s="73"/>
      <c r="T5" s="79" t="s">
        <v>112</v>
      </c>
      <c r="U5" s="75"/>
      <c r="V5" s="79" t="s">
        <v>113</v>
      </c>
      <c r="W5" s="9"/>
      <c r="X5" s="9"/>
      <c r="Y5" s="9"/>
      <c r="Z5" s="9"/>
      <c r="AA5" s="9"/>
      <c r="AB5" s="9"/>
      <c r="AC5" s="60"/>
      <c r="AD5" s="61"/>
      <c r="AE5" s="61"/>
      <c r="AF5" s="61"/>
      <c r="AG5" s="61"/>
      <c r="AH5" s="61"/>
      <c r="AI5" s="61"/>
      <c r="AJ5" s="61"/>
      <c r="AK5" s="61"/>
      <c r="AL5" s="61"/>
      <c r="AM5" s="61"/>
      <c r="AN5" s="61"/>
      <c r="AO5" s="61"/>
      <c r="AP5" s="61"/>
    </row>
    <row r="6" ht="30.0" customHeight="1">
      <c r="A6" s="29"/>
      <c r="B6" s="30"/>
      <c r="C6" s="31" t="s">
        <v>3</v>
      </c>
      <c r="D6" s="31" t="s">
        <v>4</v>
      </c>
      <c r="E6" s="31" t="s">
        <v>5</v>
      </c>
      <c r="F6" s="31" t="s">
        <v>6</v>
      </c>
      <c r="G6" s="31" t="s">
        <v>7</v>
      </c>
      <c r="H6" s="32" t="s">
        <v>8</v>
      </c>
      <c r="I6" s="31" t="s">
        <v>9</v>
      </c>
      <c r="J6" s="80" t="s">
        <v>114</v>
      </c>
      <c r="K6" s="31" t="s">
        <v>10</v>
      </c>
      <c r="L6" s="33" t="s">
        <v>11</v>
      </c>
      <c r="M6" s="81"/>
      <c r="N6" s="82" t="s">
        <v>115</v>
      </c>
      <c r="O6" s="83"/>
      <c r="P6" s="36"/>
      <c r="Q6" s="35"/>
      <c r="R6" s="68"/>
      <c r="S6" s="68"/>
      <c r="T6" s="84"/>
      <c r="U6" s="35"/>
      <c r="V6" s="35"/>
      <c r="W6" s="35"/>
      <c r="X6" s="35"/>
      <c r="Y6" s="35"/>
      <c r="Z6" s="35"/>
      <c r="AA6" s="35"/>
      <c r="AB6" s="35"/>
      <c r="AC6" s="60"/>
      <c r="AD6" s="85"/>
      <c r="AE6" s="85"/>
      <c r="AF6" s="85"/>
      <c r="AG6" s="85"/>
      <c r="AH6" s="85"/>
      <c r="AI6" s="85"/>
      <c r="AJ6" s="85"/>
      <c r="AK6" s="85"/>
      <c r="AL6" s="85"/>
      <c r="AM6" s="85"/>
      <c r="AN6" s="85"/>
      <c r="AO6" s="85"/>
      <c r="AP6" s="85"/>
    </row>
    <row r="7" ht="30.0" customHeight="1">
      <c r="A7" s="29"/>
      <c r="B7" s="86" t="s">
        <v>116</v>
      </c>
      <c r="C7" s="87"/>
      <c r="D7" s="87"/>
      <c r="E7" s="87"/>
      <c r="F7" s="87"/>
      <c r="G7" s="87"/>
      <c r="H7" s="87"/>
      <c r="I7" s="88"/>
      <c r="J7" s="88"/>
      <c r="K7" s="88"/>
      <c r="L7" s="89"/>
      <c r="M7" s="76"/>
      <c r="N7" s="90"/>
      <c r="O7" s="68"/>
      <c r="P7" s="68"/>
      <c r="Q7" s="68"/>
      <c r="R7" s="68"/>
      <c r="S7" s="68"/>
      <c r="T7" s="91"/>
      <c r="U7" s="35"/>
      <c r="V7" s="35"/>
      <c r="W7" s="35"/>
      <c r="X7" s="35"/>
      <c r="Y7" s="35"/>
      <c r="Z7" s="35"/>
      <c r="AA7" s="35"/>
      <c r="AB7" s="35"/>
      <c r="AC7" s="60"/>
      <c r="AD7" s="61"/>
      <c r="AE7" s="61"/>
      <c r="AF7" s="61"/>
      <c r="AG7" s="61"/>
      <c r="AH7" s="92"/>
      <c r="AI7" s="85"/>
      <c r="AJ7" s="85"/>
      <c r="AK7" s="85"/>
      <c r="AL7" s="85"/>
      <c r="AM7" s="85"/>
      <c r="AN7" s="85"/>
      <c r="AO7" s="85"/>
      <c r="AP7" s="85"/>
    </row>
    <row r="8" ht="30.0" customHeight="1">
      <c r="A8" s="29"/>
      <c r="B8" s="93" t="s">
        <v>117</v>
      </c>
      <c r="C8" s="94"/>
      <c r="D8" s="94"/>
      <c r="E8" s="94"/>
      <c r="F8" s="94"/>
      <c r="G8" s="94"/>
      <c r="H8" s="94"/>
      <c r="I8" s="94"/>
      <c r="J8" s="94"/>
      <c r="K8" s="94"/>
      <c r="L8" s="95"/>
      <c r="M8" s="81"/>
      <c r="N8" s="96"/>
      <c r="O8" s="83"/>
      <c r="P8" s="36"/>
      <c r="Q8" s="35"/>
      <c r="R8" s="68"/>
      <c r="S8" s="68"/>
      <c r="T8" s="91"/>
      <c r="U8" s="35"/>
      <c r="V8" s="35"/>
      <c r="W8" s="35"/>
      <c r="X8" s="35"/>
      <c r="Y8" s="35"/>
      <c r="Z8" s="35"/>
      <c r="AA8" s="35"/>
      <c r="AB8" s="35"/>
      <c r="AC8" s="60"/>
      <c r="AD8" s="61"/>
      <c r="AE8" s="61"/>
      <c r="AF8" s="61"/>
      <c r="AG8" s="61"/>
      <c r="AH8" s="92"/>
      <c r="AI8" s="85"/>
      <c r="AJ8" s="85"/>
      <c r="AK8" s="85"/>
      <c r="AL8" s="85"/>
      <c r="AM8" s="85"/>
      <c r="AN8" s="85"/>
      <c r="AO8" s="85"/>
      <c r="AP8" s="85"/>
    </row>
    <row r="9" ht="46.5" customHeight="1">
      <c r="A9" s="29"/>
      <c r="B9" s="38" t="s">
        <v>118</v>
      </c>
      <c r="C9" s="39" t="s">
        <v>119</v>
      </c>
      <c r="D9" s="40" t="s">
        <v>120</v>
      </c>
      <c r="E9" s="40" t="s">
        <v>121</v>
      </c>
      <c r="F9" s="40" t="s">
        <v>122</v>
      </c>
      <c r="G9" s="39" t="s">
        <v>123</v>
      </c>
      <c r="H9" s="41" t="s">
        <v>19</v>
      </c>
      <c r="I9" s="42" t="s">
        <v>124</v>
      </c>
      <c r="J9" s="42" t="str">
        <f>IFERROR(__xludf.DUMMYFUNCTION("GOOGLETRANSLATE(I9,""en"",""pl"")"),"Seria P, zewnętrzna kamera antywandalowa z wielokierunkowym 5-kanałowym czujnikiem oparta na sztucznej inteligencji, z 3-punktowym złączem obrotowym umożliwiającym szybki i łatwy montaż, kanały 1-4: 4 x 4K@15fps (H.265, H.264) AI WŁ., 20fps z AI WYŁ., IR "&amp;"20m (65ft), zintegrowane obiektywy zmiennoogniskowe 3,3~5,7mm (1,7x), kanał 5: 2MP @ 60FPS PTZ z 40-krotnym zoomem, WiseIR 200m (656ft), automatyczne śledzenie PTZ, SmartZoom do ustawień wstępnych / wyzwalacza IVA (UWAGA: klasyfikacja obiektów AI i aktual"&amp;"izacja oprogramowania sprzętowego IVA wkrótce). Analityka kanału 1-4 AI Detekcja obiektów z klasyfikacją: osoba, twarz, pojazd, tablica rejestracyjna i atrybuty pojazdu: samochód, autobus, ciężarówka, motocykl, rower, linia wirtualna (przejście/kierunek),"&amp;" obszar wirtualny (włóczęgostwo/wtargnięcie/wejście/wyjście), BestShot, detekcja ruchu, detekcja rozmycia, manipulacja, 2 gniazda, maks. 1 TB (512 GB x 2), HPoE (IEEE802.3bt typ 4, klasa 8) HPoE: maks. 64,00 W, typowo 45,00 W. Zawiera iniektor HPoE, TPM 2"&amp;".0 (FIPS 140-2), IP66, NEMA4X, IK10. Kompatybilny z modułem wejścia/wyjścia IP SPM-4210 do podłączania alarmów/urządzeń audio oraz obsługi detekcji dźwięku z kamery i analizy klasyfikacji dźwięku. W zestawie: adapter do montażu wiszącego.")</f>
        <v>Seria P, zewnętrzna kamera antywandalowa z wielokierunkowym 5-kanałowym czujnikiem oparta na sztucznej inteligencji, z 3-punktowym złączem obrotowym umożliwiającym szybki i łatwy montaż, kanały 1-4: 4 x 4K@15fps (H.265, H.264) AI WŁ., 20fps z AI WYŁ., IR 20m (65ft), zintegrowane obiektywy zmiennoogniskowe 3,3~5,7mm (1,7x), kanał 5: 2MP @ 60FPS PTZ z 40-krotnym zoomem, WiseIR 200m (656ft), automatyczne śledzenie PTZ, SmartZoom do ustawień wstępnych / wyzwalacza IVA (UWAGA: klasyfikacja obiektów AI i aktualizacja oprogramowania sprzętowego IVA wkrótce). Analityka kanału 1-4 AI Detekcja obiektów z klasyfikacją: osoba, twarz, pojazd, tablica rejestracyjna i atrybuty pojazdu: samochód, autobus, ciężarówka, motocykl, rower, linia wirtualna (przejście/kierunek), obszar wirtualny (włóczęgostwo/wtargnięcie/wejście/wyjście), BestShot, detekcja ruchu, detekcja rozmycia, manipulacja, 2 gniazda, maks. 1 TB (512 GB x 2), HPoE (IEEE802.3bt typ 4, klasa 8) HPoE: maks. 64,00 W, typowo 45,00 W. Zawiera iniektor HPoE, TPM 2.0 (FIPS 140-2), IP66, NEMA4X, IK10. Kompatybilny z modułem wejścia/wyjścia IP SPM-4210 do podłączania alarmów/urządzeń audio oraz obsługi detekcji dźwięku z kamery i analizy klasyfikacji dźwięku. W zestawie: adapter do montażu wiszącego.</v>
      </c>
      <c r="K9" s="43" t="s">
        <v>21</v>
      </c>
      <c r="L9" s="44">
        <v>7600.0</v>
      </c>
      <c r="M9" s="8"/>
      <c r="N9" s="45" t="s">
        <v>22</v>
      </c>
      <c r="O9" s="97"/>
      <c r="P9" s="36"/>
      <c r="Q9" s="35"/>
      <c r="R9" s="68"/>
      <c r="S9" s="68"/>
      <c r="T9" s="68"/>
      <c r="U9" s="35"/>
      <c r="V9" s="35"/>
      <c r="W9" s="35"/>
      <c r="X9" s="35"/>
      <c r="Y9" s="35"/>
      <c r="Z9" s="35"/>
      <c r="AA9" s="35"/>
      <c r="AB9" s="35"/>
      <c r="AC9" s="85"/>
      <c r="AD9" s="85"/>
      <c r="AE9" s="85"/>
      <c r="AF9" s="85"/>
      <c r="AG9" s="85"/>
      <c r="AH9" s="85"/>
      <c r="AI9" s="85"/>
      <c r="AJ9" s="85"/>
      <c r="AK9" s="85"/>
      <c r="AL9" s="85"/>
      <c r="AM9" s="85"/>
      <c r="AN9" s="85"/>
      <c r="AO9" s="85"/>
      <c r="AP9" s="85"/>
    </row>
    <row r="10" ht="46.5" customHeight="1">
      <c r="A10" s="29"/>
      <c r="B10" s="38" t="s">
        <v>118</v>
      </c>
      <c r="C10" s="39" t="s">
        <v>125</v>
      </c>
      <c r="D10" s="40" t="s">
        <v>126</v>
      </c>
      <c r="E10" s="40" t="s">
        <v>121</v>
      </c>
      <c r="F10" s="40" t="s">
        <v>127</v>
      </c>
      <c r="G10" s="39" t="s">
        <v>123</v>
      </c>
      <c r="H10" s="41" t="s">
        <v>19</v>
      </c>
      <c r="I10" s="42" t="s">
        <v>128</v>
      </c>
      <c r="J10" s="42" t="str">
        <f>IFERROR(__xludf.DUMMYFUNCTION("GOOGLETRANSLATE(I10,""en"",""pl"")"),"Seria P sieciowa kamera zewnętrzna z 4-kanałowym czujnikiem i wielokierunkową sztuczną inteligencją, 4 x 4K@15 kl./s (H.265, H.264) AI WŁ., 20 kl./s z AI WYŁ., PoE+: WiseIR 15 m (49,21 stopy), HPoE: WiseIR 20 m (65,62 stopy), zintegrowane obiektywy zmienn"&amp;"oogniskowe z napędem silnikowym 3,3~5,7 mm (1,7x), WiseStream III, widok korytarza, analityka AI Wykrywanie obiektów z klasyfikacją: osoba, twarz, pojazd, tablica rejestracyjna i atrybuty pojazdu samochód, autobus, ciężarówka, motocykl, rower, linia wirtu"&amp;"alna (przejście/kierunek), obszar wirtualny (włóczęgostwo/wtargnięcie/wejście/wyjście), BestShot, wykrywanie ruchu, wykrywanie braku ostrości, manipulacja, maks. 2 gniazda. 1 TB (512 GB x 2), PoE+, TPM 2.0 (FIPS 140-2), IP66, NEMA4X, IK10, 2 konfigurowaln"&amp;"e wejścia/wyjścia alarmowe, łączność audio wymaga zakupu kabla SPP-C7400, kompatybilnego również z SPM-4210 (sprzedawanym oddzielnie) – moduł IP wejścia/wyjścia do podłączania alarmów/urządzeń audio oraz obsługi detekcji dźwięku i analizy klasyfikacji dźw"&amp;"ięku w kamerach. Moduł PoE+ można kupić osobno, numer części: SPO-6011.")</f>
        <v>Seria P sieciowa kamera zewnętrzna z 4-kanałowym czujnikiem i wielokierunkową sztuczną inteligencją, 4 x 4K@15 kl./s (H.265, H.264) AI WŁ., 20 kl./s z AI WYŁ., PoE+: WiseIR 15 m (49,21 stopy), HPoE: WiseIR 20 m (65,62 stopy), zintegrowane obiektywy zmiennoogniskowe z napędem silnikowym 3,3~5,7 mm (1,7x), WiseStream III, widok korytarza, analityka AI Wykrywanie obiektów z klasyfikacją: osoba, twarz, pojazd, tablica rejestracyjna i atrybuty pojazdu samochód, autobus, ciężarówka, motocykl, rower, linia wirtualna (przejście/kierunek), obszar wirtualny (włóczęgostwo/wtargnięcie/wejście/wyjście), BestShot, wykrywanie ruchu, wykrywanie braku ostrości, manipulacja, maks. 2 gniazda. 1 TB (512 GB x 2), PoE+, TPM 2.0 (FIPS 140-2), IP66, NEMA4X, IK10, 2 konfigurowalne wejścia/wyjścia alarmowe, łączność audio wymaga zakupu kabla SPP-C7400, kompatybilnego również z SPM-4210 (sprzedawanym oddzielnie) – moduł IP wejścia/wyjścia do podłączania alarmów/urządzeń audio oraz obsługi detekcji dźwięku i analizy klasyfikacji dźwięku w kamerach. Moduł PoE+ można kupić osobno, numer części: SPO-6011.</v>
      </c>
      <c r="K10" s="43" t="s">
        <v>21</v>
      </c>
      <c r="L10" s="44">
        <v>3200.0</v>
      </c>
      <c r="M10" s="8"/>
      <c r="N10" s="45" t="s">
        <v>22</v>
      </c>
      <c r="O10" s="97"/>
      <c r="P10" s="36"/>
      <c r="Q10" s="35"/>
      <c r="R10" s="68"/>
      <c r="S10" s="68"/>
      <c r="T10" s="68"/>
      <c r="U10" s="35"/>
      <c r="V10" s="35"/>
      <c r="W10" s="35"/>
      <c r="X10" s="35"/>
      <c r="Y10" s="35"/>
      <c r="Z10" s="35"/>
      <c r="AA10" s="35"/>
      <c r="AB10" s="35"/>
      <c r="AC10" s="85"/>
      <c r="AD10" s="85"/>
      <c r="AE10" s="85"/>
      <c r="AF10" s="85"/>
      <c r="AG10" s="85"/>
      <c r="AH10" s="85"/>
      <c r="AI10" s="85"/>
      <c r="AJ10" s="85"/>
      <c r="AK10" s="85"/>
      <c r="AL10" s="85"/>
      <c r="AM10" s="85"/>
      <c r="AN10" s="85"/>
      <c r="AO10" s="85"/>
      <c r="AP10" s="85"/>
    </row>
    <row r="11" ht="84.75" customHeight="1">
      <c r="A11" s="29"/>
      <c r="B11" s="38" t="s">
        <v>118</v>
      </c>
      <c r="C11" s="39" t="s">
        <v>129</v>
      </c>
      <c r="D11" s="40" t="s">
        <v>130</v>
      </c>
      <c r="E11" s="40" t="s">
        <v>16</v>
      </c>
      <c r="F11" s="40" t="s">
        <v>127</v>
      </c>
      <c r="G11" s="39" t="s">
        <v>131</v>
      </c>
      <c r="H11" s="41" t="s">
        <v>19</v>
      </c>
      <c r="I11" s="42" t="s">
        <v>132</v>
      </c>
      <c r="J11" s="42" t="str">
        <f>IFERROR(__xludf.DUMMYFUNCTION("GOOGLETRANSLATE(I11,""en"",""pl"")"),"Kamera sieciowa 8K Box serii T, 43,3-calowy pełnoklatkowy przetwornik CMOS, 32 MP @15 kl./s, autofokus, mocowanie obiektywu EF, potrójny kodek H.265/H.264/MJPEG z WiseStream II, strumieniowanie wielokrotne, BLC/DWDR, automatyczny tryb dzień/noc (ICR), now"&amp;"a analiza wideo oparta na głębokim uczeniu (klasyfikacja obiektów), wykrywanie ruchu, wykrywanie kierunkowe, wykrywanie braku ostrości, wejście/wyjście, włóczęgostwo, wirtualna linia, manipulacja, pojawianie się/znikanie, wykrywanie dźwięku, klasyfikacja "&amp;"dźwięku, dwukierunkowy dźwięk i gniazdo micro SD/SDHC/SDXC, HPoE/12 V DC ※ Obiektyw nie jest dołączony")</f>
        <v>Kamera sieciowa 8K Box serii T, 43,3-calowy pełnoklatkowy przetwornik CMOS, 32 MP @15 kl./s, autofokus, mocowanie obiektywu EF, potrójny kodek H.265/H.264/MJPEG z WiseStream II, strumieniowanie wielokrotne, BLC/DWDR, automatyczny tryb dzień/noc (ICR), nowa analiza wideo oparta na głębokim uczeniu (klasyfikacja obiektów), wykrywanie ruchu, wykrywanie kierunkowe, wykrywanie braku ostrości, wejście/wyjście, włóczęgostwo, wirtualna linia, manipulacja, pojawianie się/znikanie, wykrywanie dźwięku, klasyfikacja dźwięku, dwukierunkowy dźwięk i gniazdo micro SD/SDHC/SDXC, HPoE/12 V DC ※ Obiektyw nie jest dołączony</v>
      </c>
      <c r="K11" s="43" t="s">
        <v>21</v>
      </c>
      <c r="L11" s="44">
        <v>15267.0</v>
      </c>
      <c r="M11" s="8"/>
      <c r="N11" s="45" t="s">
        <v>22</v>
      </c>
      <c r="O11" s="97"/>
      <c r="P11" s="36"/>
      <c r="Q11" s="35"/>
      <c r="R11" s="68"/>
      <c r="S11" s="68"/>
      <c r="T11" s="68"/>
      <c r="U11" s="35"/>
      <c r="V11" s="35"/>
      <c r="W11" s="35"/>
      <c r="X11" s="35"/>
      <c r="Y11" s="35"/>
      <c r="Z11" s="35"/>
      <c r="AA11" s="35"/>
      <c r="AB11" s="35"/>
      <c r="AC11" s="85"/>
      <c r="AD11" s="85"/>
      <c r="AE11" s="85"/>
      <c r="AF11" s="85"/>
      <c r="AG11" s="85"/>
      <c r="AH11" s="85"/>
      <c r="AI11" s="85"/>
      <c r="AJ11" s="85"/>
      <c r="AK11" s="85"/>
      <c r="AL11" s="85"/>
      <c r="AM11" s="85"/>
      <c r="AN11" s="85"/>
      <c r="AO11" s="85"/>
      <c r="AP11" s="85"/>
    </row>
    <row r="12" ht="46.5" customHeight="1">
      <c r="A12" s="29"/>
      <c r="B12" s="38" t="s">
        <v>118</v>
      </c>
      <c r="C12" s="39" t="s">
        <v>133</v>
      </c>
      <c r="D12" s="40" t="s">
        <v>134</v>
      </c>
      <c r="E12" s="40" t="s">
        <v>16</v>
      </c>
      <c r="F12" s="40" t="s">
        <v>135</v>
      </c>
      <c r="G12" s="39" t="s">
        <v>18</v>
      </c>
      <c r="H12" s="41" t="s">
        <v>19</v>
      </c>
      <c r="I12" s="42" t="s">
        <v>136</v>
      </c>
      <c r="J12" s="42" t="str">
        <f>IFERROR(__xludf.DUMMYFUNCTION("GOOGLETRANSLATE(I12,""en"",""pl"")"),"Kamera sieciowa AI Bullet z serii T o rozdzielczości 26 MP, przetwornik obrazu CMOS APS 1,8 cala, maks. 30 kl./s, obiektyw manualny VF 0,2/0,02 luksa D/N 55–250 mm, obsługiwana analiza wideo oparta na AI: pakiet Traffic Pack, pakiet fabryczny (klucz licen"&amp;"cyjny nie jest wymagany), dwukierunkowe audio, 2 karty micro SD, temperatura pracy: od -40°C do +50°C, HPoE (802.3bt typ 3, klasa 6)/12 V DC, gniazdo SFP 100/1000, IP66/IP67, IK10, NEMA4X (brak dołączonego wtryskiwacza PoE)")</f>
        <v>Kamera sieciowa AI Bullet z serii T o rozdzielczości 26 MP, przetwornik obrazu CMOS APS 1,8 cala, maks. 30 kl./s, obiektyw manualny VF 0,2/0,02 luksa D/N 55–250 mm, obsługiwana analiza wideo oparta na AI: pakiet Traffic Pack, pakiet fabryczny (klucz licencyjny nie jest wymagany), dwukierunkowe audio, 2 karty micro SD, temperatura pracy: od -40°C do +50°C, HPoE (802.3bt typ 3, klasa 6)/12 V DC, gniazdo SFP 100/1000, IP66/IP67, IK10, NEMA4X (brak dołączonego wtryskiwacza PoE)</v>
      </c>
      <c r="K12" s="43" t="s">
        <v>21</v>
      </c>
      <c r="L12" s="44">
        <v>8300.0</v>
      </c>
      <c r="M12" s="8"/>
      <c r="N12" s="45" t="s">
        <v>22</v>
      </c>
      <c r="O12" s="97"/>
      <c r="P12" s="36"/>
      <c r="Q12" s="35"/>
      <c r="R12" s="68"/>
      <c r="S12" s="68"/>
      <c r="T12" s="68"/>
      <c r="U12" s="35"/>
      <c r="V12" s="35"/>
      <c r="W12" s="35"/>
      <c r="X12" s="35"/>
      <c r="Y12" s="35"/>
      <c r="Z12" s="35"/>
      <c r="AA12" s="35"/>
      <c r="AB12" s="35"/>
      <c r="AC12" s="85"/>
      <c r="AD12" s="85"/>
      <c r="AE12" s="85"/>
      <c r="AF12" s="85"/>
      <c r="AG12" s="85"/>
      <c r="AH12" s="85"/>
      <c r="AI12" s="85"/>
      <c r="AJ12" s="85"/>
      <c r="AK12" s="85"/>
      <c r="AL12" s="85"/>
      <c r="AM12" s="85"/>
      <c r="AN12" s="85"/>
      <c r="AO12" s="85"/>
      <c r="AP12" s="85"/>
    </row>
    <row r="13" ht="46.5" customHeight="1">
      <c r="A13" s="29"/>
      <c r="B13" s="38" t="s">
        <v>118</v>
      </c>
      <c r="C13" s="39" t="s">
        <v>137</v>
      </c>
      <c r="D13" s="40" t="s">
        <v>138</v>
      </c>
      <c r="E13" s="40" t="s">
        <v>121</v>
      </c>
      <c r="F13" s="40" t="s">
        <v>127</v>
      </c>
      <c r="G13" s="39" t="s">
        <v>123</v>
      </c>
      <c r="H13" s="41" t="s">
        <v>19</v>
      </c>
      <c r="I13" s="42" t="s">
        <v>139</v>
      </c>
      <c r="J13" s="42" t="str">
        <f>IFERROR(__xludf.DUMMYFUNCTION("GOOGLETRANSLATE(I13,""en"",""pl"")"),"Kamera zewnętrzna wielokierunkowa serii P, sieciowa, antywandalowa [AI WŁ.] 4CH x 8MP @ 15FPS / [AI WYŁ.] 4CH x 8MP @ 20FPS, obiektyw zmiennoogniskowy z napędem silnikowym i funkcją PTRZ 4,38~9,33 mm (FoV H: 112,1°~47,5°, V: 58°~26,6°), potrójny kodek H.2"&amp;"65/H.264/MJPEG, WDR 120 dB; widoczna długość podczerwieni [PoE++ 25m(82ft), PoE+ 15m(49ft)], zdarzenia analityczne oparte na silniku AI: sklasyfikowany typ obiektu: osoba/twarz/pojazd/tablica rejestracyjna; Atrybuty: Pojazd (typ i kolor: samochód/autobus/"&amp;"ciężarówka/motocykl/rower), Osoba (kolor górnej i dolnej części ubrania), IVA (wirtualna linia/obszar, wejście/wyjście, włóczęgostwo, kierunek, wtargnięcie), pojawianie się/znikanie, WiseNR II (za pomocą silnika AI), WiseStream III (na podstawie silnika A"&amp;"I), zgodność z I/O Box; TPM z FIPS 140-2 poziom 2, karta micro SD 512 GB x 2, IP66, IK10, NEMA4X, temperatura pracy: -40°C~+55°C(-40°F~+131°F), PoE++/PoE+, kopułka z twardą powłoką")</f>
        <v>Kamera zewnętrzna wielokierunkowa serii P, sieciowa, antywandalowa [AI WŁ.] 4CH x 8MP @ 15FPS / [AI WYŁ.] 4CH x 8MP @ 20FPS, obiektyw zmiennoogniskowy z napędem silnikowym i funkcją PTRZ 4,38~9,33 mm (FoV H: 112,1°~47,5°, V: 58°~26,6°), potrójny kodek H.265/H.264/MJPEG, WDR 120 dB; widoczna długość podczerwieni [PoE++ 25m(82ft), PoE+ 15m(49ft)], zdarzenia analityczne oparte na silniku AI: sklasyfikowany typ obiektu: osoba/twarz/pojazd/tablica rejestracyjna; Atrybuty: Pojazd (typ i kolor: samochód/autobus/ciężarówka/motocykl/rower), Osoba (kolor górnej i dolnej części ubrania), IVA (wirtualna linia/obszar, wejście/wyjście, włóczęgostwo, kierunek, wtargnięcie), pojawianie się/znikanie, WiseNR II (za pomocą silnika AI), WiseStream III (na podstawie silnika AI), zgodność z I/O Box; TPM z FIPS 140-2 poziom 2, karta micro SD 512 GB x 2, IP66, IK10, NEMA4X, temperatura pracy: -40°C~+55°C(-40°F~+131°F), PoE++/PoE+, kopułka z twardą powłoką</v>
      </c>
      <c r="K13" s="43" t="s">
        <v>21</v>
      </c>
      <c r="L13" s="44">
        <v>3900.0</v>
      </c>
      <c r="M13" s="8"/>
      <c r="N13" s="45" t="s">
        <v>22</v>
      </c>
      <c r="O13" s="97"/>
      <c r="P13" s="36"/>
      <c r="Q13" s="35"/>
      <c r="R13" s="68"/>
      <c r="S13" s="68"/>
      <c r="T13" s="68"/>
      <c r="U13" s="35"/>
      <c r="V13" s="35"/>
      <c r="W13" s="35"/>
      <c r="X13" s="35"/>
      <c r="Y13" s="35"/>
      <c r="Z13" s="35"/>
      <c r="AA13" s="35"/>
      <c r="AB13" s="35"/>
      <c r="AC13" s="85"/>
      <c r="AD13" s="85"/>
      <c r="AE13" s="85"/>
      <c r="AF13" s="85"/>
      <c r="AG13" s="85"/>
      <c r="AH13" s="85"/>
      <c r="AI13" s="85"/>
      <c r="AJ13" s="85"/>
      <c r="AK13" s="85"/>
      <c r="AL13" s="85"/>
      <c r="AM13" s="85"/>
      <c r="AN13" s="85"/>
      <c r="AO13" s="85"/>
      <c r="AP13" s="85"/>
    </row>
    <row r="14" ht="46.5" customHeight="1">
      <c r="A14" s="29"/>
      <c r="B14" s="38" t="s">
        <v>118</v>
      </c>
      <c r="C14" s="39" t="s">
        <v>140</v>
      </c>
      <c r="D14" s="40" t="s">
        <v>141</v>
      </c>
      <c r="E14" s="40" t="s">
        <v>121</v>
      </c>
      <c r="F14" s="40" t="s">
        <v>142</v>
      </c>
      <c r="G14" s="39" t="s">
        <v>123</v>
      </c>
      <c r="H14" s="41" t="s">
        <v>19</v>
      </c>
      <c r="I14" s="42" t="s">
        <v>143</v>
      </c>
      <c r="J14" s="42" t="str">
        <f>IFERROR(__xludf.DUMMYFUNCTION("GOOGLETRANSLATE(I14,""en"",""pl"")"),"Sieciowa kamera czołowa z serii P 4CH x 2MP @ 30FPS lub 4CH x 5MP @ 15FPS, potrójny kodek H.265/H.264/MJPEG, 120dB WDR, zdarzenia analityczne oparte na silniku AI: sklasyfikowany typ obiektu: osoba/twarz/pojazd/tablica rejestracyjna, atrybuty: pojazd (typ"&amp;" i kolor: samochód/autobus/ciężarówka/motocykl/rower), osoba (kolor górnej i dolnej części ubrania), IVA (wirtualna linia/obszar, wejście/wyjście, wałęsanie się, wtargnięcie), pojawianie się/znikanie, Business intelligence oparty na silniku AI: liczenie o"&amp;"sób, liczenie pojazdów, zarządzanie kolejkami, mapa cieplna, WiseNR II (na podstawie silnika AI), WiseStream III (na podstawie silnika AI), USB-C do łatwej instalacji, 4 x wybieralne wejście/wyjście, 4 x wejścia audio, 1 wyjście audio, TPM z FIPS 140-3 po"&amp;"ziom 3, wbudowane gniazda na karty microSD (do 512 GB x2), 12 V DC/PoE+, zgodność z SLA-T4680A/T4680VA, SLA-T2480A/T2480VA, SLA-T1080FA [przyszła zgodność z obiektywami 5 MP]")</f>
        <v>Sieciowa kamera czołowa z serii P 4CH x 2MP @ 30FPS lub 4CH x 5MP @ 15FPS, potrójny kodek H.265/H.264/MJPEG, 120dB WDR, zdarzenia analityczne oparte na silniku AI: sklasyfikowany typ obiektu: osoba/twarz/pojazd/tablica rejestracyjna, atrybuty: pojazd (typ i kolor: samochód/autobus/ciężarówka/motocykl/rower), osoba (kolor górnej i dolnej części ubrania), IVA (wirtualna linia/obszar, wejście/wyjście, wałęsanie się, wtargnięcie), pojawianie się/znikanie, Business intelligence oparty na silniku AI: liczenie osób, liczenie pojazdów, zarządzanie kolejkami, mapa cieplna, WiseNR II (na podstawie silnika AI), WiseStream III (na podstawie silnika AI), USB-C do łatwej instalacji, 4 x wybieralne wejście/wyjście, 4 x wejścia audio, 1 wyjście audio, TPM z FIPS 140-3 poziom 3, wbudowane gniazda na karty microSD (do 512 GB x2), 12 V DC/PoE+, zgodność z SLA-T4680A/T4680VA, SLA-T2480A/T2480VA, SLA-T1080FA [przyszła zgodność z obiektywami 5 MP]</v>
      </c>
      <c r="K14" s="43" t="s">
        <v>21</v>
      </c>
      <c r="L14" s="44">
        <v>1300.0</v>
      </c>
      <c r="M14" s="8"/>
      <c r="N14" s="45" t="s">
        <v>22</v>
      </c>
      <c r="O14" s="97"/>
      <c r="P14" s="36"/>
      <c r="Q14" s="35"/>
      <c r="R14" s="68"/>
      <c r="S14" s="68"/>
      <c r="T14" s="68"/>
      <c r="U14" s="35"/>
      <c r="V14" s="35"/>
      <c r="W14" s="35"/>
      <c r="X14" s="35"/>
      <c r="Y14" s="35"/>
      <c r="Z14" s="35"/>
      <c r="AA14" s="35"/>
      <c r="AB14" s="35"/>
      <c r="AC14" s="85"/>
      <c r="AD14" s="85"/>
      <c r="AE14" s="85"/>
      <c r="AF14" s="85"/>
      <c r="AG14" s="85"/>
      <c r="AH14" s="85"/>
      <c r="AI14" s="85"/>
      <c r="AJ14" s="85"/>
      <c r="AK14" s="85"/>
      <c r="AL14" s="85"/>
      <c r="AM14" s="85"/>
      <c r="AN14" s="85"/>
      <c r="AO14" s="85"/>
      <c r="AP14" s="85"/>
    </row>
    <row r="15" ht="46.5" customHeight="1">
      <c r="A15" s="29"/>
      <c r="B15" s="38" t="s">
        <v>118</v>
      </c>
      <c r="C15" s="39" t="s">
        <v>144</v>
      </c>
      <c r="D15" s="40" t="s">
        <v>145</v>
      </c>
      <c r="E15" s="40" t="s">
        <v>121</v>
      </c>
      <c r="F15" s="40" t="s">
        <v>146</v>
      </c>
      <c r="G15" s="39" t="s">
        <v>123</v>
      </c>
      <c r="H15" s="41" t="s">
        <v>19</v>
      </c>
      <c r="I15" s="42" t="s">
        <v>147</v>
      </c>
      <c r="J15" s="42" t="str">
        <f>IFERROR(__xludf.DUMMYFUNCTION("GOOGLETRANSLATE(I15,""en"",""pl"")"),"Kamera zewnętrzna wielokierunkowa serii P, sieciowa, antywandalowa, 3 kanały x 5 MP @ 30 kl./s i 4 MP PTZ, 18-krotny zoom, obiektyw 3 kanały stały 2,4 mm (FoV H: 123°, V: 91°), WDR 120 dB; widoczna długość podczerwieni 15 m (49 stóp), zdarzenia analityczn"&amp;"e oparte na silniku AI: sklasyfikowany typ obiektu: osoba/twarz/pojazd/tablica rejestracyjna; atrybuty: pojazd (typ i kolor: samochód/autobus/ciężarówka/motocykl/rower), osoba (kolor górnej i dolnej części ubrania), IVA (wirtualna linia/obszar, wejście/wy"&amp;"jście, wałęsanie się, kierunek, wtargnięcie), pojawianie się/znikanie; Business Intelligence oparte na silniku AI: liczenie osób, liczenie pojazdów, zarządzanie kolejkami, mapa cieplna; WiseNR II (używając silnika AI), WiseStream III (na podstawie silnika"&amp;" AI), zgodność z I/O Box; Element bezpieczny (FIPS 140-3 poziom 3), karta micro SD 512 GB x 2, IP66, IK10, NEMA4X, temperatura pracy: -40°C~+55°C(-40°F~+131°F), PoE++ (wtryskiwacz w zestawie), bańka kopułkowa z twardą powłoką.")</f>
        <v>Kamera zewnętrzna wielokierunkowa serii P, sieciowa, antywandalowa, 3 kanały x 5 MP @ 30 kl./s i 4 MP PTZ, 18-krotny zoom, obiektyw 3 kanały stały 2,4 mm (FoV H: 123°, V: 91°), WDR 120 dB; widoczna długość podczerwieni 15 m (49 stóp), zdarzenia analityczne oparte na silniku AI: sklasyfikowany typ obiektu: osoba/twarz/pojazd/tablica rejestracyjna; atrybuty: pojazd (typ i kolor: samochód/autobus/ciężarówka/motocykl/rower), osoba (kolor górnej i dolnej części ubrania), IVA (wirtualna linia/obszar, wejście/wyjście, wałęsanie się, kierunek, wtargnięcie), pojawianie się/znikanie; Business Intelligence oparte na silniku AI: liczenie osób, liczenie pojazdów, zarządzanie kolejkami, mapa cieplna; WiseNR II (używając silnika AI), WiseStream III (na podstawie silnika AI), zgodność z I/O Box; Element bezpieczny (FIPS 140-3 poziom 3), karta micro SD 512 GB x 2, IP66, IK10, NEMA4X, temperatura pracy: -40°C~+55°C(-40°F~+131°F), PoE++ (wtryskiwacz w zestawie), bańka kopułkowa z twardą powłoką.</v>
      </c>
      <c r="K15" s="43" t="s">
        <v>21</v>
      </c>
      <c r="L15" s="44">
        <v>4150.0</v>
      </c>
      <c r="M15" s="8"/>
      <c r="N15" s="45" t="s">
        <v>22</v>
      </c>
      <c r="O15" s="97"/>
      <c r="P15" s="35"/>
      <c r="Q15" s="35"/>
      <c r="R15" s="68"/>
      <c r="S15" s="68"/>
      <c r="T15" s="68"/>
      <c r="U15" s="35"/>
      <c r="V15" s="35"/>
      <c r="W15" s="35"/>
      <c r="X15" s="35"/>
      <c r="Y15" s="35"/>
      <c r="Z15" s="35"/>
      <c r="AA15" s="35"/>
      <c r="AB15" s="35"/>
      <c r="AC15" s="98"/>
      <c r="AD15" s="98"/>
      <c r="AE15" s="98"/>
      <c r="AF15" s="98"/>
      <c r="AG15" s="98"/>
      <c r="AH15" s="98"/>
      <c r="AI15" s="98"/>
      <c r="AJ15" s="98"/>
      <c r="AK15" s="98"/>
      <c r="AL15" s="98"/>
      <c r="AM15" s="98"/>
      <c r="AN15" s="98"/>
      <c r="AO15" s="98"/>
      <c r="AP15" s="98"/>
    </row>
    <row r="16" ht="46.5" customHeight="1">
      <c r="A16" s="29"/>
      <c r="B16" s="38" t="s">
        <v>118</v>
      </c>
      <c r="C16" s="39" t="s">
        <v>148</v>
      </c>
      <c r="D16" s="40" t="s">
        <v>149</v>
      </c>
      <c r="E16" s="40" t="s">
        <v>121</v>
      </c>
      <c r="F16" s="40" t="s">
        <v>150</v>
      </c>
      <c r="G16" s="39" t="s">
        <v>123</v>
      </c>
      <c r="H16" s="41" t="s">
        <v>19</v>
      </c>
      <c r="I16" s="42" t="s">
        <v>151</v>
      </c>
      <c r="J16" s="42" t="str">
        <f>IFERROR(__xludf.DUMMYFUNCTION("GOOGLETRANSLATE(I16,""en"",""pl"")"),"Kamera zewnętrzna z serii P z wielokierunkowym 4-kanałowym czujnikiem i funkcją wykrywania wandalizmu, 4 x 4 MP@30fps, WiseIR 15 m IR, zintegrowane obiektywy zmiennoogniskowe 3,3~5,7 mm (1,7x), WiseStream III, widok korytarza, analityka AI, wykrywanie obi"&amp;"ektów z klasyfikacją: osoba, twarz, pojazd, tablica rejestracyjna i atrybuty pojazdu: samochód, autobus, ciężarówka, motocykl, rower, wirtualna linia (skrzyżowanie/kierunek), wirtualny obszar (włóczęgostwo/wtargnięcie/wejście/wyjście), BestShot, wykrywani"&amp;"e ruchu, wykrywanie braku ostrości, manipulacja, 2 gniazda, maks. 1 TB (512 GB x 2), PoE+, TPM 2.0 (FIPS 140-2), IP66, NEMA4X, IK10. 2 konfigurowalne wejścia/wyjścia alarmowe, łączność audio wymaga zakupu kabla SPP-C7400, kompatybilnego również z SPM-4210"&amp;" (sprzedawanym oddzielnie) – moduł IP wejścia/wyjścia do podłączania alarmów/urządzeń audio oraz obsługi detekcji dźwięku i analizy klasyfikacji dźwięku w kamerach. Iniektor PoE+ można kupić osobno, numer części SPO-6011.")</f>
        <v>Kamera zewnętrzna z serii P z wielokierunkowym 4-kanałowym czujnikiem i funkcją wykrywania wandalizmu, 4 x 4 MP@30fps, WiseIR 15 m IR, zintegrowane obiektywy zmiennoogniskowe 3,3~5,7 mm (1,7x), WiseStream III, widok korytarza, analityka AI, wykrywanie obiektów z klasyfikacją: osoba, twarz, pojazd, tablica rejestracyjna i atrybuty pojazdu: samochód, autobus, ciężarówka, motocykl, rower, wirtualna linia (skrzyżowanie/kierunek), wirtualny obszar (włóczęgostwo/wtargnięcie/wejście/wyjście), BestShot, wykrywanie ruchu, wykrywanie braku ostrości, manipulacja, 2 gniazda, maks. 1 TB (512 GB x 2), PoE+, TPM 2.0 (FIPS 140-2), IP66, NEMA4X, IK10. 2 konfigurowalne wejścia/wyjścia alarmowe, łączność audio wymaga zakupu kabla SPP-C7400, kompatybilnego również z SPM-4210 (sprzedawanym oddzielnie) – moduł IP wejścia/wyjścia do podłączania alarmów/urządzeń audio oraz obsługi detekcji dźwięku i analizy klasyfikacji dźwięku w kamerach. Iniektor PoE+ można kupić osobno, numer części SPO-6011.</v>
      </c>
      <c r="K16" s="43" t="s">
        <v>21</v>
      </c>
      <c r="L16" s="44">
        <v>2850.0</v>
      </c>
      <c r="M16" s="8"/>
      <c r="N16" s="45" t="s">
        <v>22</v>
      </c>
      <c r="O16" s="97"/>
      <c r="P16" s="36"/>
      <c r="Q16" s="35"/>
      <c r="R16" s="68"/>
      <c r="S16" s="68"/>
      <c r="T16" s="68"/>
      <c r="U16" s="35"/>
      <c r="V16" s="35"/>
      <c r="W16" s="35"/>
      <c r="X16" s="35"/>
      <c r="Y16" s="35"/>
      <c r="Z16" s="35"/>
      <c r="AA16" s="35"/>
      <c r="AB16" s="35"/>
      <c r="AC16" s="85"/>
      <c r="AD16" s="85"/>
      <c r="AE16" s="85"/>
      <c r="AF16" s="85"/>
      <c r="AG16" s="85"/>
      <c r="AH16" s="85"/>
      <c r="AI16" s="85"/>
      <c r="AJ16" s="85"/>
      <c r="AK16" s="85"/>
      <c r="AL16" s="85"/>
      <c r="AM16" s="85"/>
      <c r="AN16" s="85"/>
      <c r="AO16" s="85"/>
      <c r="AP16" s="85"/>
    </row>
    <row r="17" ht="46.5" customHeight="1">
      <c r="A17" s="29"/>
      <c r="B17" s="38" t="s">
        <v>118</v>
      </c>
      <c r="C17" s="39" t="s">
        <v>152</v>
      </c>
      <c r="D17" s="40" t="s">
        <v>153</v>
      </c>
      <c r="E17" s="40" t="s">
        <v>121</v>
      </c>
      <c r="F17" s="40" t="s">
        <v>150</v>
      </c>
      <c r="G17" s="39" t="s">
        <v>123</v>
      </c>
      <c r="H17" s="41" t="s">
        <v>19</v>
      </c>
      <c r="I17" s="42" t="s">
        <v>154</v>
      </c>
      <c r="J17" s="42" t="str">
        <f>IFERROR(__xludf.DUMMYFUNCTION("GOOGLETRANSLATE(I17,""en"",""pl"")"),"Kamera zewnętrzna miniaturowa wielokierunkowa serii P, sieciowa, antywandalowa, 4 kanały x 4 MP @ 15 kl./s, obiektyw stały 3,19 mm (FoV H: 97°, V: 54°), potrójny kodek H.265/H.264/MJPEG, WDR 120 dB; zasięg widzenia w podczerwieni 20 m (65,6 stopy), port U"&amp;"SB umożliwiający łatwą instalację, zdarzenia analityczne oparte na silniku AI: wykrywanie obiektów (osoba/pojazd (samochód/ciężarówka/autobus/rower)), IVA (wirtualna linia/obszar, wejście/wyjście, włóczęgostwo, kierunek, wtargnięcie), pojawianie się/znika"&amp;"nie, WiseNR II (z wykorzystaniem silnika AI), WiseStream III (na podstawie silnika AI), zgodność z modułem I/O Box; Moduł TPM z certyfikatem FIPS 140-2 poziom 2, IP66, IK10, NEMA4X, PoE+, Ø: 200 mm, wys.: 80 mm, (wtryskiwacz HPoE nie jest dołączony)")</f>
        <v>Kamera zewnętrzna miniaturowa wielokierunkowa serii P, sieciowa, antywandalowa, 4 kanały x 4 MP @ 15 kl./s, obiektyw stały 3,19 mm (FoV H: 97°, V: 54°), potrójny kodek H.265/H.264/MJPEG, WDR 120 dB; zasięg widzenia w podczerwieni 20 m (65,6 stopy), port USB umożliwiający łatwą instalację, zdarzenia analityczne oparte na silniku AI: wykrywanie obiektów (osoba/pojazd (samochód/ciężarówka/autobus/rower)), IVA (wirtualna linia/obszar, wejście/wyjście, włóczęgostwo, kierunek, wtargnięcie), pojawianie się/znikanie, WiseNR II (z wykorzystaniem silnika AI), WiseStream III (na podstawie silnika AI), zgodność z modułem I/O Box; Moduł TPM z certyfikatem FIPS 140-2 poziom 2, IP66, IK10, NEMA4X, PoE+, Ø: 200 mm, wys.: 80 mm, (wtryskiwacz HPoE nie jest dołączony)</v>
      </c>
      <c r="K17" s="43" t="s">
        <v>21</v>
      </c>
      <c r="L17" s="44">
        <v>1900.0</v>
      </c>
      <c r="M17" s="8"/>
      <c r="N17" s="45" t="s">
        <v>22</v>
      </c>
      <c r="O17" s="97"/>
      <c r="P17" s="36"/>
      <c r="Q17" s="35"/>
      <c r="R17" s="68"/>
      <c r="S17" s="68"/>
      <c r="T17" s="68"/>
      <c r="U17" s="35"/>
      <c r="V17" s="35"/>
      <c r="W17" s="35"/>
      <c r="X17" s="35"/>
      <c r="Y17" s="35"/>
      <c r="Z17" s="35"/>
      <c r="AA17" s="35"/>
      <c r="AB17" s="35"/>
      <c r="AC17" s="85"/>
      <c r="AD17" s="85"/>
      <c r="AE17" s="85"/>
      <c r="AF17" s="85"/>
      <c r="AG17" s="85"/>
      <c r="AH17" s="85"/>
      <c r="AI17" s="85"/>
      <c r="AJ17" s="85"/>
      <c r="AK17" s="85"/>
      <c r="AL17" s="85"/>
      <c r="AM17" s="85"/>
      <c r="AN17" s="85"/>
      <c r="AO17" s="85"/>
      <c r="AP17" s="85"/>
    </row>
    <row r="18" ht="46.5" customHeight="1">
      <c r="A18" s="29"/>
      <c r="B18" s="38" t="s">
        <v>118</v>
      </c>
      <c r="C18" s="39" t="s">
        <v>155</v>
      </c>
      <c r="D18" s="40" t="s">
        <v>156</v>
      </c>
      <c r="E18" s="40" t="s">
        <v>121</v>
      </c>
      <c r="F18" s="40" t="s">
        <v>150</v>
      </c>
      <c r="G18" s="39" t="s">
        <v>123</v>
      </c>
      <c r="H18" s="41" t="s">
        <v>19</v>
      </c>
      <c r="I18" s="42" t="s">
        <v>157</v>
      </c>
      <c r="J18" s="42" t="str">
        <f>IFERROR(__xludf.DUMMYFUNCTION("GOOGLETRANSLATE(I18,""en"",""pl"")"),"Kamera zewnętrzna wielokierunkowa serii P, sieciowa, antywandalowa, 4 kanały x 4 MP @ 30 kl./s, obsługa zmotoryzowanego obiektywu PTRZ, zmotoryzowany obiektyw zmiennoogniskowy 3,3~10,2 mm (FoV H: 93°~29,8°, V: 53°~17,5°), potrójny kodek H.265/H.264/MJPEG,"&amp;" WDR 120 dB; Widoczna długość IR [PoE+] 15 m (49 stóp) / [PoE++] 20 m (65 stóp), zdarzenia analityczne oparte na silniku AI: wykrywanie obiektów [osoba/pojazd z atrybutami koloru (samochód/autobus/ciężarówka/motocykl/rower)], IVA (wirtualna linia/obszar, "&amp;"wejście/wyjście, włóczęgostwo, kierunek, wtargnięcie), pojawianie się/znikanie, WiseNR II (za pomocą silnika AI), WiseStream III (na podstawie silnika AI), zgodność z I/O Box; TPM z FIPS 140-2 poziom 2, karta micro SD 512 GB x 2, IP66, IK10, NEMA4X, tempe"&amp;"ratura pracy: -40°C~+55°C(-40°F~+131°F); PoE+ /PoE++, kopułka z twardą powłoką")</f>
        <v>Kamera zewnętrzna wielokierunkowa serii P, sieciowa, antywandalowa, 4 kanały x 4 MP @ 30 kl./s, obsługa zmotoryzowanego obiektywu PTRZ, zmotoryzowany obiektyw zmiennoogniskowy 3,3~10,2 mm (FoV H: 93°~29,8°, V: 53°~17,5°), potrójny kodek H.265/H.264/MJPEG, WDR 120 dB; Widoczna długość IR [PoE+] 15 m (49 stóp) / [PoE++] 20 m (65 stóp), zdarzenia analityczne oparte na silniku AI: wykrywanie obiektów [osoba/pojazd z atrybutami koloru (samochód/autobus/ciężarówka/motocykl/rower)], IVA (wirtualna linia/obszar, wejście/wyjście, włóczęgostwo, kierunek, wtargnięcie), pojawianie się/znikanie, WiseNR II (za pomocą silnika AI), WiseStream III (na podstawie silnika AI), zgodność z I/O Box; TPM z FIPS 140-2 poziom 2, karta micro SD 512 GB x 2, IP66, IK10, NEMA4X, temperatura pracy: -40°C~+55°C(-40°F~+131°F); PoE+ /PoE++, kopułka z twardą powłoką</v>
      </c>
      <c r="K18" s="43" t="s">
        <v>21</v>
      </c>
      <c r="L18" s="44">
        <v>3100.0</v>
      </c>
      <c r="M18" s="8"/>
      <c r="N18" s="45" t="s">
        <v>22</v>
      </c>
      <c r="O18" s="97"/>
      <c r="P18" s="36"/>
      <c r="Q18" s="35"/>
      <c r="R18" s="68"/>
      <c r="S18" s="68"/>
      <c r="T18" s="68"/>
      <c r="U18" s="35"/>
      <c r="V18" s="35"/>
      <c r="W18" s="35"/>
      <c r="X18" s="35"/>
      <c r="Y18" s="35"/>
      <c r="Z18" s="35"/>
      <c r="AA18" s="35"/>
      <c r="AB18" s="35"/>
      <c r="AC18" s="85"/>
      <c r="AD18" s="85"/>
      <c r="AE18" s="85"/>
      <c r="AF18" s="85"/>
      <c r="AG18" s="85"/>
      <c r="AH18" s="85"/>
      <c r="AI18" s="85"/>
      <c r="AJ18" s="85"/>
      <c r="AK18" s="85"/>
      <c r="AL18" s="85"/>
      <c r="AM18" s="85"/>
      <c r="AN18" s="85"/>
      <c r="AO18" s="85"/>
      <c r="AP18" s="85"/>
    </row>
    <row r="19" ht="120.0" customHeight="1">
      <c r="A19" s="29"/>
      <c r="B19" s="38" t="s">
        <v>118</v>
      </c>
      <c r="C19" s="39" t="s">
        <v>158</v>
      </c>
      <c r="D19" s="40" t="s">
        <v>159</v>
      </c>
      <c r="E19" s="40" t="s">
        <v>121</v>
      </c>
      <c r="F19" s="40" t="s">
        <v>160</v>
      </c>
      <c r="G19" s="39" t="s">
        <v>123</v>
      </c>
      <c r="H19" s="41" t="s">
        <v>19</v>
      </c>
      <c r="I19" s="48" t="s">
        <v>161</v>
      </c>
      <c r="J19" s="42" t="str">
        <f>IFERROR(__xludf.DUMMYFUNCTION("GOOGLETRANSLATE(I19,""en"",""pl"")"),"Seria P sieciowa kamera kopułkowa wielokierunkowa z podwójnym czujnikiem, zewnętrzna, zabezpieczona przed wandalizmem, 2 x 6 MP@15 kl./s, 360 stopni, 25 m podczerwieni, obiektywy zmiennoogniskowe z napędem silnikowym 3,54~6,69 mm, WiseNR II, automatyczne "&amp;"sterowanie migawką, WiseStream III, ExtremeWDR (120 dB), widok korytarza, analityka AI, wykrywanie obiektów z klasyfikacją: osoba, twarz, pojazd, tablica rejestracyjna i atrybuty pojazdu: samochód, autobus, ciężarówka, motocykl, rower, linia wirtualna (sk"&amp;"rzyżowanie/kierunek), obszar wirtualny (włóczęgostwo/wtargnięcie/wejście/wyjście), BestShot, wykrywanie ruchu, wykrywanie braku ostrości, manipulacja, gniazdo karty SD maks. 512 GB, PoE+, domyślne zabezpieczenie, TPM 2.0 (FIPS 140-2), IP66, NEMA4X, IK10. "&amp;"Kompatybilny z modułem wejścia/wyjścia IP SPM-4210 umożliwiającym podłączanie alarmów/urządzeń audio oraz obsługę wykrywania dźwięku i analizy klasyfikacji dźwięku w kamerach")</f>
        <v>Seria P sieciowa kamera kopułkowa wielokierunkowa z podwójnym czujnikiem, zewnętrzna, zabezpieczona przed wandalizmem, 2 x 6 MP@15 kl./s, 360 stopni, 25 m podczerwieni, obiektywy zmiennoogniskowe z napędem silnikowym 3,54~6,69 mm, WiseNR II, automatyczne sterowanie migawką, WiseStream III, ExtremeWDR (120 dB), widok korytarza, analityka AI, wykrywanie obiektów z klasyfikacją: osoba, twarz, pojazd, tablica rejestracyjna i atrybuty pojazdu: samochód, autobus, ciężarówka, motocykl, rower, linia wirtualna (skrzyżowanie/kierunek), obszar wirtualny (włóczęgostwo/wtargnięcie/wejście/wyjście), BestShot, wykrywanie ruchu, wykrywanie braku ostrości, manipulacja, gniazdo karty SD maks. 512 GB, PoE+, domyślne zabezpieczenie, TPM 2.0 (FIPS 140-2), IP66, NEMA4X, IK10. Kompatybilny z modułem wejścia/wyjścia IP SPM-4210 umożliwiającym podłączanie alarmów/urządzeń audio oraz obsługę wykrywania dźwięku i analizy klasyfikacji dźwięku w kamerach</v>
      </c>
      <c r="K19" s="43" t="s">
        <v>21</v>
      </c>
      <c r="L19" s="44">
        <v>1760.0</v>
      </c>
      <c r="M19" s="8"/>
      <c r="N19" s="45" t="s">
        <v>22</v>
      </c>
      <c r="O19" s="97"/>
      <c r="P19" s="36"/>
      <c r="Q19" s="35"/>
      <c r="R19" s="68"/>
      <c r="S19" s="68"/>
      <c r="T19" s="35"/>
      <c r="U19" s="35"/>
      <c r="V19" s="35"/>
      <c r="W19" s="35"/>
      <c r="X19" s="35"/>
      <c r="Y19" s="35"/>
      <c r="Z19" s="35"/>
      <c r="AA19" s="35"/>
      <c r="AB19" s="35"/>
      <c r="AC19" s="85"/>
      <c r="AD19" s="85"/>
      <c r="AE19" s="85"/>
      <c r="AF19" s="85"/>
      <c r="AG19" s="85"/>
      <c r="AH19" s="85"/>
      <c r="AI19" s="85"/>
      <c r="AJ19" s="85"/>
      <c r="AK19" s="85"/>
      <c r="AL19" s="85"/>
      <c r="AM19" s="85"/>
      <c r="AN19" s="85"/>
      <c r="AO19" s="85"/>
      <c r="AP19" s="85"/>
    </row>
    <row r="20" ht="90.0" customHeight="1">
      <c r="A20" s="29"/>
      <c r="B20" s="38" t="s">
        <v>118</v>
      </c>
      <c r="C20" s="39" t="s">
        <v>162</v>
      </c>
      <c r="D20" s="40" t="s">
        <v>163</v>
      </c>
      <c r="E20" s="40" t="s">
        <v>121</v>
      </c>
      <c r="F20" s="40" t="s">
        <v>164</v>
      </c>
      <c r="G20" s="39" t="s">
        <v>123</v>
      </c>
      <c r="H20" s="41" t="s">
        <v>19</v>
      </c>
      <c r="I20" s="42" t="s">
        <v>165</v>
      </c>
      <c r="J20" s="42" t="str">
        <f>IFERROR(__xludf.DUMMYFUNCTION("GOOGLETRANSLATE(I20,""en"",""pl"")"),"Seria P sieciowa kamera kopułkowa zewnętrzna z wieloma czujnikami i panoramiczną kamerą AI, 4 czujniki x 2 MP, łączenie obrazów panoramicznych 209º, WiseIR 20 m, 8 MP @20 kl./s, obiektyw stałoogniskowy 2,8 mm, potrójny kodek H.265/H.264/MJPEG z WiseStream"&amp;" III, WDR 120 dB, automatyczny tryb dzień/noc (ICR), detekcja obiektów przez sztuczną inteligencję (osoba/pojazd), detekcja braku ostrości, detekcja ruchu, manipulacja, detekcja dźwięku, klasyfikacja dźwięku, obszar wirtualny (pojawianie się/znikanie), pr"&amp;"zekazanie do PTZ, zabezpieczenie domyślne, TPM 2.0 (FIPS 140-2), wejście/wyjście audio, dwa gniazda na karty SD, PoE+, 12 V DC, IP66, IK10, NEMA4X")</f>
        <v>Seria P sieciowa kamera kopułkowa zewnętrzna z wieloma czujnikami i panoramiczną kamerą AI, 4 czujniki x 2 MP, łączenie obrazów panoramicznych 209º, WiseIR 20 m, 8 MP @20 kl./s, obiektyw stałoogniskowy 2,8 mm, potrójny kodek H.265/H.264/MJPEG z WiseStream III, WDR 120 dB, automatyczny tryb dzień/noc (ICR), detekcja obiektów przez sztuczną inteligencję (osoba/pojazd), detekcja braku ostrości, detekcja ruchu, manipulacja, detekcja dźwięku, klasyfikacja dźwięku, obszar wirtualny (pojawianie się/znikanie), przekazanie do PTZ, zabezpieczenie domyślne, TPM 2.0 (FIPS 140-2), wejście/wyjście audio, dwa gniazda na karty SD, PoE+, 12 V DC, IP66, IK10, NEMA4X</v>
      </c>
      <c r="K20" s="43" t="s">
        <v>21</v>
      </c>
      <c r="L20" s="44">
        <v>2200.0</v>
      </c>
      <c r="M20" s="8"/>
      <c r="N20" s="45" t="s">
        <v>22</v>
      </c>
      <c r="O20" s="97"/>
      <c r="P20" s="36"/>
      <c r="Q20" s="35"/>
      <c r="R20" s="68"/>
      <c r="S20" s="68"/>
      <c r="T20" s="68"/>
      <c r="U20" s="35"/>
      <c r="V20" s="35"/>
      <c r="W20" s="35"/>
      <c r="X20" s="35"/>
      <c r="Y20" s="35"/>
      <c r="Z20" s="35"/>
      <c r="AA20" s="35"/>
      <c r="AB20" s="35"/>
      <c r="AC20" s="60"/>
      <c r="AD20" s="85"/>
      <c r="AE20" s="85"/>
      <c r="AF20" s="85"/>
      <c r="AG20" s="85"/>
      <c r="AH20" s="85"/>
      <c r="AI20" s="85"/>
      <c r="AJ20" s="85"/>
      <c r="AK20" s="85"/>
      <c r="AL20" s="85"/>
      <c r="AM20" s="85"/>
      <c r="AN20" s="85"/>
      <c r="AO20" s="85"/>
      <c r="AP20" s="85"/>
    </row>
    <row r="21" ht="46.5" customHeight="1">
      <c r="A21" s="29"/>
      <c r="B21" s="38" t="s">
        <v>118</v>
      </c>
      <c r="C21" s="39" t="s">
        <v>166</v>
      </c>
      <c r="D21" s="40" t="s">
        <v>167</v>
      </c>
      <c r="E21" s="40" t="s">
        <v>168</v>
      </c>
      <c r="F21" s="40" t="s">
        <v>160</v>
      </c>
      <c r="G21" s="40" t="s">
        <v>169</v>
      </c>
      <c r="H21" s="41" t="s">
        <v>170</v>
      </c>
      <c r="I21" s="48" t="s">
        <v>171</v>
      </c>
      <c r="J21" s="42" t="str">
        <f>IFERROR(__xludf.DUMMYFUNCTION("GOOGLETRANSLATE(I21,""en"",""pl"")"),"Seria X zasilana przez kamerę sieciową Wisenet 7 AI IR 12M typu rybie oko, 12 MP @30 kl./s, obiektyw stałoogniskowy 1,08 mm, proste ustawianie ostrości, potrójny kodek H.265/H.264/MJPEG z WiseStream III (na podstawie silnika AI, strumieniowanie wielokrotn"&amp;"e, ekstremalny WDR (120 dB), True Day &amp; Night (ICR), widoczna długość podczerwieni 8 m z PoE 12 m z PoE+, Wise IR, cyberbezpieczeństwo następnego poziomu, bezlicencyjna wbudowana inteligentna analiza wideo, liczenie osób, mapa cieplna, zarządzanie kolejka"&amp;"mi, przekazywanie, tryb VariableView, wbudowana analiza wideo, liczenie osób, mapa cieplna, zarządzanie kolejkami, przekazywanie, tryb VariableView, wbudowana dewarping, cyfrowy PTZ, dwukierunkowy dźwięk, 2 gniazda microSD/SDHC/SDXC do 1 TB, IP66, IK10, N"&amp;"EMA 4X, PoE/12 V DC")</f>
        <v>Seria X zasilana przez kamerę sieciową Wisenet 7 AI IR 12M typu rybie oko, 12 MP @30 kl./s, obiektyw stałoogniskowy 1,08 mm, proste ustawianie ostrości, potrójny kodek H.265/H.264/MJPEG z WiseStream III (na podstawie silnika AI, strumieniowanie wielokrotne, ekstremalny WDR (120 dB), True Day &amp; Night (ICR), widoczna długość podczerwieni 8 m z PoE 12 m z PoE+, Wise IR, cyberbezpieczeństwo następnego poziomu, bezlicencyjna wbudowana inteligentna analiza wideo, liczenie osób, mapa cieplna, zarządzanie kolejkami, przekazywanie, tryb VariableView, wbudowana analiza wideo, liczenie osób, mapa cieplna, zarządzanie kolejkami, przekazywanie, tryb VariableView, wbudowana dewarping, cyfrowy PTZ, dwukierunkowy dźwięk, 2 gniazda microSD/SDHC/SDXC do 1 TB, IP66, IK10, NEMA 4X, PoE/12 V DC</v>
      </c>
      <c r="K21" s="43" t="s">
        <v>21</v>
      </c>
      <c r="L21" s="44">
        <v>1380.0</v>
      </c>
      <c r="M21" s="8"/>
      <c r="N21" s="45" t="s">
        <v>22</v>
      </c>
      <c r="O21" s="97"/>
      <c r="P21" s="36"/>
      <c r="Q21" s="35"/>
      <c r="R21" s="68"/>
      <c r="S21" s="68"/>
      <c r="T21" s="68"/>
      <c r="U21" s="35"/>
      <c r="V21" s="35"/>
      <c r="W21" s="35"/>
      <c r="X21" s="35"/>
      <c r="Y21" s="35"/>
      <c r="Z21" s="35"/>
      <c r="AA21" s="35"/>
      <c r="AB21" s="35"/>
      <c r="AC21" s="60"/>
      <c r="AD21" s="85"/>
      <c r="AE21" s="85"/>
      <c r="AF21" s="85"/>
      <c r="AG21" s="85"/>
      <c r="AH21" s="85"/>
      <c r="AI21" s="85"/>
      <c r="AJ21" s="85"/>
      <c r="AK21" s="85"/>
      <c r="AL21" s="85"/>
      <c r="AM21" s="85"/>
      <c r="AN21" s="85"/>
      <c r="AO21" s="85"/>
      <c r="AP21" s="85"/>
    </row>
    <row r="22" ht="46.5" customHeight="1">
      <c r="A22" s="29"/>
      <c r="B22" s="38" t="s">
        <v>118</v>
      </c>
      <c r="C22" s="39" t="s">
        <v>172</v>
      </c>
      <c r="D22" s="40" t="s">
        <v>173</v>
      </c>
      <c r="E22" s="40" t="s">
        <v>174</v>
      </c>
      <c r="F22" s="40" t="s">
        <v>160</v>
      </c>
      <c r="G22" s="40" t="s">
        <v>169</v>
      </c>
      <c r="H22" s="41" t="s">
        <v>170</v>
      </c>
      <c r="I22" s="48" t="s">
        <v>175</v>
      </c>
      <c r="J22" s="42" t="str">
        <f>IFERROR(__xludf.DUMMYFUNCTION("GOOGLETRANSLATE(I22,""en"",""pl"")"),"Kamera kopułkowa typu rybie oko z serii Q, przetwornik 12 MP, maksymalna rozdzielczość 3008 x 3008 przy 20 kl./s, obiektyw stałoogniskowy 1,76 mm, H185°/V185°, kodek H.265/H.264/MJPEG, WiseStreamIII (na podstawie silnika AI), WiseNR II (na podstawie silni"&amp;"ka AI), extremeWDR (120 dB), obrót cyfrowy, detekcja ruchu oparta na AI, sklasyfikowany typ obiektu: osoba/pojazd, atrybuty obiektu (osoba: kolor górnej/dolnej części ubrania, pojazd: kolor), zdarzenia IVA oparte na silniku AI: wirtualna linia (przejście/"&amp;"kierunek), wirtualny obszar (włóczęgostwo/wtargnięcie/wejście/wyjście/(zniknięcie)pojawienie się), BestShot, zdarzenia analityczne (rozmycie, manipulacja), oparta na AI business intelligence (mapa cieplna, zarządzanie kolejką, liczenie osób), wbudowane gn"&amp;"iazdo karty microSD (do 256 GB), IP42, Temperatura pracy: -10°C~+40°C (+14°F~+104°F), Zasilanie: PoE, RJ45.")</f>
        <v>Kamera kopułkowa typu rybie oko z serii Q, przetwornik 12 MP, maksymalna rozdzielczość 3008 x 3008 przy 20 kl./s, obiektyw stałoogniskowy 1,76 mm, H185°/V185°, kodek H.265/H.264/MJPEG, WiseStreamIII (na podstawie silnika AI), WiseNR II (na podstawie silnika AI), extremeWDR (120 dB), obrót cyfrowy, detekcja ruchu oparta na AI, sklasyfikowany typ obiektu: osoba/pojazd, atrybuty obiektu (osoba: kolor górnej/dolnej części ubrania, pojazd: kolor), zdarzenia IVA oparte na silniku AI: wirtualna linia (przejście/kierunek), wirtualny obszar (włóczęgostwo/wtargnięcie/wejście/wyjście/(zniknięcie)pojawienie się), BestShot, zdarzenia analityczne (rozmycie, manipulacja), oparta na AI business intelligence (mapa cieplna, zarządzanie kolejką, liczenie osób), wbudowane gniazdo karty microSD (do 256 GB), IP42, Temperatura pracy: -10°C~+40°C (+14°F~+104°F), Zasilanie: PoE, RJ45.</v>
      </c>
      <c r="K22" s="43" t="s">
        <v>21</v>
      </c>
      <c r="L22" s="44">
        <v>950.0</v>
      </c>
      <c r="M22" s="8"/>
      <c r="N22" s="45" t="s">
        <v>22</v>
      </c>
      <c r="O22" s="97"/>
      <c r="P22" s="36"/>
      <c r="Q22" s="35"/>
      <c r="R22" s="68"/>
      <c r="S22" s="68"/>
      <c r="T22" s="68"/>
      <c r="U22" s="35"/>
      <c r="V22" s="35"/>
      <c r="W22" s="35"/>
      <c r="X22" s="35"/>
      <c r="Y22" s="35"/>
      <c r="Z22" s="35"/>
      <c r="AA22" s="35"/>
      <c r="AB22" s="35"/>
      <c r="AC22" s="60"/>
      <c r="AD22" s="85"/>
      <c r="AE22" s="85"/>
      <c r="AF22" s="85"/>
      <c r="AG22" s="85"/>
      <c r="AH22" s="85"/>
      <c r="AI22" s="85"/>
      <c r="AJ22" s="85"/>
      <c r="AK22" s="85"/>
      <c r="AL22" s="85"/>
      <c r="AM22" s="85"/>
      <c r="AN22" s="85"/>
      <c r="AO22" s="85"/>
      <c r="AP22" s="85"/>
    </row>
    <row r="23" ht="46.5" customHeight="1">
      <c r="A23" s="29"/>
      <c r="B23" s="38" t="s">
        <v>118</v>
      </c>
      <c r="C23" s="39" t="s">
        <v>176</v>
      </c>
      <c r="D23" s="40" t="s">
        <v>177</v>
      </c>
      <c r="E23" s="40" t="s">
        <v>174</v>
      </c>
      <c r="F23" s="40" t="s">
        <v>160</v>
      </c>
      <c r="G23" s="40" t="s">
        <v>169</v>
      </c>
      <c r="H23" s="41" t="s">
        <v>170</v>
      </c>
      <c r="I23" s="48" t="s">
        <v>178</v>
      </c>
      <c r="J23" s="42" t="str">
        <f>IFERROR(__xludf.DUMMYFUNCTION("GOOGLETRANSLATE(I23,""en"",""pl"")"),"Kamera kopułkowa zewnętrzna typu rybie oko z serii Q, przetwornik 12 MP, maksymalna rozdzielczość 3008 x 3008 przy 20 kl./s, obiektyw stałoogniskowy 1,76 mm, H185°/V185°, kodek H.265/H.264/MJPEG, WiseStreamIII (na podstawie silnika AI), WiseNR II (na pods"&amp;"tawie silnika AI), extremeWDR (120 dB), obrót cyfrowy, detekcja ruchu oparta na AI, sklasyfikowany typ obiektu: osoba/pojazd, atrybuty obiektu (osoba: kolor górnej/dolnej części ubrania, pojazd: kolor), zdarzenia IVA oparte na silniku AI: wirtualna linia "&amp;"(przejście/kierunek), wirtualny obszar (włóczęgostwo/wtargnięcie/wejście/wyjście/(zniknięcie)pojawienie się), BestShot, zdarzenia analityczne (rozmycie, manipulacja), oparta na AI business intelligence (mapa cieplna, zarządzanie kolejką, liczenie osób), w"&amp;"budowane gniazdo karty microSD (do 256 GB), IP66, IK10, NEMA 4X, Temperatura pracy: -40°C~+55°C (-40°F~+131°F), Zasilanie: PoE, RJ45.")</f>
        <v>Kamera kopułkowa zewnętrzna typu rybie oko z serii Q, przetwornik 12 MP, maksymalna rozdzielczość 3008 x 3008 przy 20 kl./s, obiektyw stałoogniskowy 1,76 mm, H185°/V185°, kodek H.265/H.264/MJPEG, WiseStreamIII (na podstawie silnika AI), WiseNR II (na podstawie silnika AI), extremeWDR (120 dB), obrót cyfrowy, detekcja ruchu oparta na AI, sklasyfikowany typ obiektu: osoba/pojazd, atrybuty obiektu (osoba: kolor górnej/dolnej części ubrania, pojazd: kolor), zdarzenia IVA oparte na silniku AI: wirtualna linia (przejście/kierunek), wirtualny obszar (włóczęgostwo/wtargnięcie/wejście/wyjście/(zniknięcie)pojawienie się), BestShot, zdarzenia analityczne (rozmycie, manipulacja), oparta na AI business intelligence (mapa cieplna, zarządzanie kolejką, liczenie osób), wbudowane gniazdo karty microSD (do 256 GB), IP66, IK10, NEMA 4X, Temperatura pracy: -40°C~+55°C (-40°F~+131°F), Zasilanie: PoE, RJ45.</v>
      </c>
      <c r="K23" s="43" t="s">
        <v>21</v>
      </c>
      <c r="L23" s="44">
        <v>1100.0</v>
      </c>
      <c r="M23" s="8"/>
      <c r="N23" s="45" t="s">
        <v>22</v>
      </c>
      <c r="O23" s="97"/>
      <c r="P23" s="36"/>
      <c r="Q23" s="35"/>
      <c r="R23" s="68"/>
      <c r="S23" s="68"/>
      <c r="T23" s="68"/>
      <c r="U23" s="35"/>
      <c r="V23" s="35"/>
      <c r="W23" s="35"/>
      <c r="X23" s="35"/>
      <c r="Y23" s="35"/>
      <c r="Z23" s="35"/>
      <c r="AA23" s="35"/>
      <c r="AB23" s="35"/>
      <c r="AC23" s="60"/>
      <c r="AD23" s="85"/>
      <c r="AE23" s="85"/>
      <c r="AF23" s="85"/>
      <c r="AG23" s="85"/>
      <c r="AH23" s="85"/>
      <c r="AI23" s="85"/>
      <c r="AJ23" s="85"/>
      <c r="AK23" s="85"/>
      <c r="AL23" s="85"/>
      <c r="AM23" s="85"/>
      <c r="AN23" s="85"/>
      <c r="AO23" s="85"/>
      <c r="AP23" s="85"/>
    </row>
    <row r="24" ht="120.0" customHeight="1">
      <c r="A24" s="29"/>
      <c r="B24" s="38" t="s">
        <v>118</v>
      </c>
      <c r="C24" s="39" t="s">
        <v>179</v>
      </c>
      <c r="D24" s="40" t="s">
        <v>180</v>
      </c>
      <c r="E24" s="40" t="s">
        <v>168</v>
      </c>
      <c r="F24" s="40" t="s">
        <v>164</v>
      </c>
      <c r="G24" s="39" t="s">
        <v>18</v>
      </c>
      <c r="H24" s="41" t="s">
        <v>19</v>
      </c>
      <c r="I24" s="42" t="s">
        <v>181</v>
      </c>
      <c r="J24" s="42" t="str">
        <f>IFERROR(__xludf.DUMMYFUNCTION("GOOGLETRANSLATE(I24,""en"",""pl"")"),"Seria X zasilana przez kamerę zewnętrzną Wisenet 7 networkAI IR z obiektywem typu bullet, 8 MP @30 kl./s, obiektyw zmiennoogniskowy z napędem silnikowym 4,4~9,3 mm (2,1x), potrójny kodek H.265/H.264/MJPEG z WiseStream III, strumieniowanie wielokrotne, eks"&amp;"tremalny WDR (120 dB), automatyczny tryb dzień/noc (ICR), widoczna długość podczerwieni 50 m, cyberbezpieczeństwo następnego poziomu, zdarzenia analityczne oparte na silniku AI (NPU): wykrywanie obiektów (osoba/twarz/pojazd — samochód, ciężarówka, autobus"&amp;", rower, motocykl/tablica rejestracyjna), IVA (wirtualna linia/obszar, wejście/wyjście, włóczęgostwo, kierunek, wtargnięcie), zdarzenia analityczne: wykrywanie braku ostrości, wykrywanie ruchu, manipulacja, wykrywanie mgły, wykrywanie dźwięku, klasyfikacj"&amp;"a dźwięku, wykrywanie wstrząsów, pojawianie się/znikanie, cyfrowa stabilizacja obrazu z wbudowanym czujnikiem żyroskopowym, dwukierunkowy dźwięk i podwójny Gniazdo microSD/SDHC/SDXC, IP66/IP67, IK10, NEMA4X, PoE+/12 V DC")</f>
        <v>Seria X zasilana przez kamerę zewnętrzną Wisenet 7 networkAI IR z obiektywem typu bullet, 8 MP @30 kl./s, obiektyw zmiennoogniskowy z napędem silnikowym 4,4~9,3 mm (2,1x), potrójny kodek H.265/H.264/MJPEG z WiseStream III, strumieniowanie wielokrotne, ekstremalny WDR (120 dB), automatyczny tryb dzień/noc (ICR), widoczna długość podczerwieni 50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podwójny Gniazdo microSD/SDHC/SDXC, IP66/IP67, IK10, NEMA4X, PoE+/12 V DC</v>
      </c>
      <c r="K24" s="43" t="s">
        <v>21</v>
      </c>
      <c r="L24" s="44">
        <v>1950.0</v>
      </c>
      <c r="M24" s="8"/>
      <c r="N24" s="45" t="s">
        <v>22</v>
      </c>
      <c r="O24" s="97"/>
      <c r="P24" s="36"/>
      <c r="Q24" s="35"/>
      <c r="R24" s="68"/>
      <c r="S24" s="68"/>
      <c r="T24" s="68"/>
      <c r="U24" s="35"/>
      <c r="V24" s="35"/>
      <c r="W24" s="35"/>
      <c r="X24" s="35"/>
      <c r="Y24" s="35"/>
      <c r="Z24" s="35"/>
      <c r="AA24" s="35"/>
      <c r="AB24" s="35"/>
      <c r="AC24" s="60"/>
      <c r="AD24" s="85"/>
      <c r="AE24" s="85"/>
      <c r="AF24" s="85"/>
      <c r="AG24" s="85"/>
      <c r="AH24" s="85"/>
      <c r="AI24" s="85"/>
      <c r="AJ24" s="85"/>
      <c r="AK24" s="85"/>
      <c r="AL24" s="85"/>
      <c r="AM24" s="85"/>
      <c r="AN24" s="85"/>
      <c r="AO24" s="85"/>
      <c r="AP24" s="85"/>
    </row>
    <row r="25" ht="129.75" customHeight="1">
      <c r="A25" s="29"/>
      <c r="B25" s="38" t="s">
        <v>118</v>
      </c>
      <c r="C25" s="39" t="s">
        <v>182</v>
      </c>
      <c r="D25" s="40" t="s">
        <v>183</v>
      </c>
      <c r="E25" s="40" t="s">
        <v>168</v>
      </c>
      <c r="F25" s="40" t="s">
        <v>164</v>
      </c>
      <c r="G25" s="39" t="s">
        <v>184</v>
      </c>
      <c r="H25" s="41" t="s">
        <v>19</v>
      </c>
      <c r="I25" s="48" t="s">
        <v>185</v>
      </c>
      <c r="J25" s="42" t="str">
        <f>IFERROR(__xludf.DUMMYFUNCTION("GOOGLETRANSLATE(I25,""en"",""pl"")"),"Seria X zasilana przez kamerę kopułkową Wisenet 7 AI IR do zastosowań zewnętrznych, konstrukcja modułowa X PLUS, 8 MP @30 kl./s, obiektyw zmiennoogniskowy 4,4 ~ 9,3 mm (2,1x) (112,1°~47,5°), potrójny kodek H.265/H.264/MJPEG z WiseStream III, strumieniowan"&amp;"ie wielokrotne, WDR 120 dB, True Day &amp; Night (ICR), diody LED IR dużej mocy z widoczną długością podczerwieni 50 m, zdarzenia analityczne oparte na silniku AI (NPU): wykrywanie obiektów (osoba/twarz/pojazd — samochód, ciężarówka, autobus, rower, motocykl/"&amp;"tablica rejestracyjna), IVA (wirtualna linia/obszar, wejście/wyjście, włóczęgostwo, kierunek, wtargnięcie), zdarzenia analityczne: wykrywanie braku ostrości, wykrywanie ruchu, manipulacja, wykrywanie mgły, HLC, cyfrowa stabilizacja obrazu z czujnikiem żyr"&amp;"oskopowym, Dwukierunkowy dźwięk i dwa gniazda na karty microSD/SDHC/SDXC, ONVIF S/G/T, port USB ułatwiający instalację, IP67/IP66/IP6K9K, IK10+, Nema 4X, PoE+/12 V DC, w zestawie białe nakładki")</f>
        <v>Seria X zasilana przez kamerę kopułkową Wisenet 7 AI IR do zastosowań zewnętrznych, konstrukcja modułowa X PLUS, 8 MP @30 kl./s, obiektyw zmiennoogniskowy 4,4 ~ 9,3 mm (2,1x) (112,1°~47,5°), potrójny kodek H.265/H.264/MJPEG z WiseStream III, strumieniowanie wielokrotne, WDR 120 dB, True Day &amp; Night (ICR), diody LED IR dużej mocy z widoczną długością podczerwieni 50 m,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HLC, cyfrowa stabilizacja obrazu z czujnikiem żyroskopowym, Dwukierunkowy dźwięk i dwa gniazda na karty microSD/SDHC/SDXC, ONVIF S/G/T, port USB ułatwiający instalację, IP67/IP66/IP6K9K, IK10+, Nema 4X, PoE+/12 V DC, w zestawie białe nakładki</v>
      </c>
      <c r="K25" s="43" t="s">
        <v>21</v>
      </c>
      <c r="L25" s="44">
        <v>1950.0</v>
      </c>
      <c r="M25" s="8"/>
      <c r="N25" s="45" t="s">
        <v>22</v>
      </c>
      <c r="O25" s="97"/>
      <c r="P25" s="36"/>
      <c r="Q25" s="35"/>
      <c r="R25" s="68"/>
      <c r="S25" s="68"/>
      <c r="T25" s="68"/>
      <c r="U25" s="35"/>
      <c r="V25" s="35"/>
      <c r="W25" s="35"/>
      <c r="X25" s="35"/>
      <c r="Y25" s="35"/>
      <c r="Z25" s="35"/>
      <c r="AA25" s="35"/>
      <c r="AB25" s="35"/>
      <c r="AC25" s="60"/>
      <c r="AD25" s="85"/>
      <c r="AE25" s="85"/>
      <c r="AF25" s="85"/>
      <c r="AG25" s="85"/>
      <c r="AH25" s="85"/>
      <c r="AI25" s="85"/>
      <c r="AJ25" s="85"/>
      <c r="AK25" s="85"/>
      <c r="AL25" s="85"/>
      <c r="AM25" s="85"/>
      <c r="AN25" s="85"/>
      <c r="AO25" s="85"/>
      <c r="AP25" s="85"/>
    </row>
    <row r="26" ht="118.5" customHeight="1">
      <c r="A26" s="29"/>
      <c r="B26" s="38" t="s">
        <v>118</v>
      </c>
      <c r="C26" s="39" t="s">
        <v>186</v>
      </c>
      <c r="D26" s="40" t="s">
        <v>187</v>
      </c>
      <c r="E26" s="40" t="s">
        <v>168</v>
      </c>
      <c r="F26" s="40" t="s">
        <v>164</v>
      </c>
      <c r="G26" s="39" t="s">
        <v>184</v>
      </c>
      <c r="H26" s="41" t="s">
        <v>19</v>
      </c>
      <c r="I26" s="48" t="s">
        <v>188</v>
      </c>
      <c r="J26" s="42" t="str">
        <f>IFERROR(__xludf.DUMMYFUNCTION("GOOGLETRANSLATE(I26,""en"",""pl"")"),"Seria X zasilana przez kamerę kopułkową Wisenet 7 AI IR Vandal, Modułowa struktura X PLUS, 8MP @30fps, 4,4 ~ 9,3mm z napędem silnikowym i funkcją zoomu (2,1x), Kolor 0,03 Lux (F1.3, 1/30sec, 30IRE), BW 0 Lux (włączona dioda IR), Widoczna długość IR: 30m(9"&amp;"8,43ft) w zależności od sceny, Dzień i noc (ICR), extremeWDR (120 dB), WiseNRⅡ, WiseStreamⅢ, Zdarzenia analityczne oparte na silniku AI (NPU): Wykrywanie obiektów (osoba/twarz/pojazd — samochód, ciężarówka, autobus, rower, motocykl/tablica rejestracyjna),"&amp;" IVA (wirtualna linia/obszar, wejście/wyjście, włóczęgostwo, kierunek, wtargnięcie), Zdarzenia analityczne: Wykrywanie braku ostrości, Wykrywanie ruchu, Manipulacja, Wykrywanie mgły, Wykrywanie dźwięku, Klasyfikacja dźwięku, Wykrywanie wstrząsów, pojawian"&amp;"ie się/znikanie, IP66/IP67/IP6K9K, NEMA4X, IK10+, kopułka z twardą powłoką")</f>
        <v>Seria X zasilana przez kamerę kopułkową Wisenet 7 AI IR Vandal, Modułowa struktura X PLUS, 8MP @30fps, 4,4 ~ 9,3mm z napędem silnikowym i funkcją zoomu (2,1x), Kolor 0,03 Lux (F1.3, 1/30sec, 30IRE), BW 0 Lux (włączona dioda IR), Widoczna długość IR: 30m(98,43ft) w zależności od sceny, Dzień i noc (ICR), extremeWDR (120 dB),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IP66/IP67/IP6K9K, NEMA4X, IK10+, kopułka z twardą powłoką</v>
      </c>
      <c r="K26" s="43" t="s">
        <v>189</v>
      </c>
      <c r="L26" s="44">
        <v>2050.0</v>
      </c>
      <c r="M26" s="8"/>
      <c r="N26" s="45" t="s">
        <v>22</v>
      </c>
      <c r="O26" s="97"/>
      <c r="P26" s="35"/>
      <c r="Q26" s="35"/>
      <c r="R26" s="68"/>
      <c r="S26" s="68"/>
      <c r="T26" s="68"/>
      <c r="U26" s="35"/>
      <c r="V26" s="35"/>
      <c r="W26" s="35"/>
      <c r="X26" s="35"/>
      <c r="Y26" s="35"/>
      <c r="Z26" s="35"/>
      <c r="AA26" s="35"/>
      <c r="AB26" s="35"/>
      <c r="AC26" s="60"/>
      <c r="AD26" s="85"/>
      <c r="AE26" s="85"/>
      <c r="AF26" s="85"/>
      <c r="AG26" s="85"/>
      <c r="AH26" s="85"/>
      <c r="AI26" s="98"/>
      <c r="AJ26" s="98"/>
      <c r="AK26" s="98"/>
      <c r="AL26" s="98"/>
      <c r="AM26" s="98"/>
      <c r="AN26" s="98"/>
      <c r="AO26" s="98"/>
      <c r="AP26" s="98"/>
    </row>
    <row r="27" ht="132.0" customHeight="1">
      <c r="A27" s="29"/>
      <c r="B27" s="38" t="s">
        <v>118</v>
      </c>
      <c r="C27" s="39" t="s">
        <v>190</v>
      </c>
      <c r="D27" s="40" t="s">
        <v>191</v>
      </c>
      <c r="E27" s="40" t="s">
        <v>168</v>
      </c>
      <c r="F27" s="40" t="s">
        <v>164</v>
      </c>
      <c r="G27" s="40" t="s">
        <v>192</v>
      </c>
      <c r="H27" s="41" t="s">
        <v>19</v>
      </c>
      <c r="I27" s="42" t="s">
        <v>193</v>
      </c>
      <c r="J27" s="42" t="str">
        <f>IFERROR(__xludf.DUMMYFUNCTION("GOOGLETRANSLATE(I27,""en"",""pl"")"),"Seria X zasilana przez kamerę kopułkową Wisenet 7 AI IR do zastosowań wewnętrznych z wandalizmem, modułowa struktura X PLUS, 8 MP @30 kl./s, obiektyw zmiennoogniskowy 4,4 ~ 9,3 mm (2,1x) (112,1°~47,5°), potrójny kodek H.265/H.264/MJPEG z WiseStream II, st"&amp;"rumieniowanie wielokrotne, WDR 120 dB, True Day &amp; Night (ICR), diody LED IR dużej mocy z widoczną długością podczerwieni 50 m, zdarzenia analityczne oparte na silniku AI (NPU): wykrywanie obiektów (osoba/twarz/pojazd – samochód, ciężarówka, autobus, rower"&amp;", motocykl/tablica rejestracyjna), IVA (wirtualna linia/obszar, wejście/wyjście, wałęsanie się, kierunek, wtargnięcie), zdarzenia analityczne: wykrywanie braku ostrości, wykrywanie ruchu, manipulacja, wykrywanie mgły, HLC, cyfrowa stabilizacja obrazu z cz"&amp;"ujnikiem żyroskopowym, dwukierunkowy dźwięk i dwa gniazda microSD/SDHC/SDXC, ONVIF S/G/T, port USB ułatwiający instalację, IP52, IK10, PoE+/12 V DC, w zestawie białe nakładki")</f>
        <v>Seria X zasilana przez kamerę kopułkową Wisenet 7 AI IR do zastosowań wewnętrznych z wandalizmem, modułowa struktura X PLUS, 8 MP @30 kl./s, obiektyw zmiennoogniskowy 4,4 ~ 9,3 mm (2,1x) (112,1°~47,5°), potrójny kodek H.265/H.264/MJPEG z WiseStream II, strumieniowanie wielokrotne, WDR 120 dB, True Day &amp; Night (ICR), diody LED IR dużej mocy z widoczną długością podczerwieni 50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dwa gniazda microSD/SDHC/SDXC, ONVIF S/G/T, port USB ułatwiający instalację, IP52, IK10, PoE+/12 V DC, w zestawie białe nakładki</v>
      </c>
      <c r="K27" s="43" t="s">
        <v>189</v>
      </c>
      <c r="L27" s="44">
        <v>1750.0</v>
      </c>
      <c r="M27" s="8"/>
      <c r="N27" s="45" t="s">
        <v>22</v>
      </c>
      <c r="O27" s="97"/>
      <c r="P27" s="36"/>
      <c r="Q27" s="35"/>
      <c r="R27" s="68"/>
      <c r="S27" s="68"/>
      <c r="T27" s="68"/>
      <c r="U27" s="35"/>
      <c r="V27" s="35"/>
      <c r="W27" s="35"/>
      <c r="X27" s="35"/>
      <c r="Y27" s="35"/>
      <c r="Z27" s="35"/>
      <c r="AA27" s="35"/>
      <c r="AB27" s="35"/>
      <c r="AC27" s="60"/>
      <c r="AD27" s="85"/>
      <c r="AE27" s="85"/>
      <c r="AF27" s="85"/>
      <c r="AG27" s="85"/>
      <c r="AH27" s="85"/>
      <c r="AI27" s="85"/>
      <c r="AJ27" s="85"/>
      <c r="AK27" s="85"/>
      <c r="AL27" s="85"/>
      <c r="AM27" s="85"/>
      <c r="AN27" s="85"/>
      <c r="AO27" s="85"/>
      <c r="AP27" s="85"/>
    </row>
    <row r="28" ht="46.5" customHeight="1">
      <c r="A28" s="29"/>
      <c r="B28" s="38" t="s">
        <v>118</v>
      </c>
      <c r="C28" s="39" t="s">
        <v>194</v>
      </c>
      <c r="D28" s="40" t="s">
        <v>195</v>
      </c>
      <c r="E28" s="40" t="s">
        <v>168</v>
      </c>
      <c r="F28" s="40" t="s">
        <v>164</v>
      </c>
      <c r="G28" s="40" t="s">
        <v>192</v>
      </c>
      <c r="H28" s="41" t="s">
        <v>19</v>
      </c>
      <c r="I28" s="42" t="s">
        <v>196</v>
      </c>
      <c r="J28" s="42" t="str">
        <f>IFERROR(__xludf.DUMMYFUNCTION("GOOGLETRANSLATE(I28,""en"",""pl"")"),"Obsługiwana przez Wisenet 9, wewnętrzna kamera kopułkowa AI IR Network AI Dome, rozdzielczość 8 MP @ 30 kl./s, 4,4~9,3 mm (2,1x), (113°~47°) z napędem silnikowym, kodek H.265/H.264/MJPEG, widoczna długość podczerwieni 40 m (131,2 stopy), port USB-C do łat"&amp;"wej instalacji, tryb dzień i noc (ICR), extremeWDR (120 dB), kopułka z twardą powłoką, DIS ze wbudowanym czujnikiem żyroskopowym, przekazywanie, oparta na sztucznej inteligencji technologia WiseStream, WiseNR Ⅱ (z wykorzystaniem silnika AI), dynamiczna ma"&amp;"ska ​​prywatności, zdarzenia IVA oparte na silniku AI (wykrywanie ruchu i obiektów, przekroczenie linii, obszar IVA, poślizg i upadek, klasyfikacja dźwięku), sklasyfikowane typy obiektów (osoba/twarz/pojazd/tablica rejestracyjna), atrybuty obiektu (osoba:"&amp;" płeć/kolor górnej/dolnej części ubrania/torba, twarz: Wiek/płeć/maska/okulary, pojazd: typ/kolor), BestShot, zdarzenia analityczne (rozmycie, ruch, manipulacja, mgła, wykrywanie dźwięku i wstrząsów), analiza biznesowa oparta na sztucznej inteligencji (zl"&amp;"iczanie osób/pojazdów/tłumu, zarządzanie kolejkami, mapa cieplna), element bezpieczny z certyfikatem FIPS 140-3 poziom 3, wbudowane gniazdo na kartę microSD (do 1 TB), IP52, IK10, temperatura pracy: -10°C~+50°C (14°F~+122°F), zasilanie: PoE, ekranowane me"&amp;"talem gniazdo RJ-45.")</f>
        <v>Obsługiwana przez Wisenet 9, wewnętrzna kamera kopułkowa AI IR Network AI Dome, rozdzielczość 8 MP @ 30 kl./s, 4,4~9,3 mm (2,1x), (113°~47°) z napędem silnikowym, kodek H.265/H.264/MJPEG, widoczna długość podczerwieni 40 m (131,2 stopy), port USB-C do łatwej instalacji, tryb dzień i noc (ICR), extremeWDR (120 dB), kopułka z twardą powłoką, DIS ze wbudowanym czujnikiem żyroskopowym, przekazywanie,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obiektu (osoba: płeć/kolor górnej/dolnej części ubrania/torba, twarz: Wiek/płeć/maska/okulary, pojazd: typ/kolor), BestShot, zdarzenia analityczne (rozmycie, ruch, manipulacja, mgła, wykrywanie dźwięku i wstrząsów), analiza biznesowa oparta na sztucznej inteligencji (zliczanie osób/pojazdów/tłumu, zarządzanie kolejkami, mapa cieplna), element bezpieczny z certyfikatem FIPS 140-3 poziom 3, wbudowane gniazdo na kartę microSD (do 1 TB), IP52, IK10, temperatura pracy: -10°C~+50°C (14°F~+122°F), zasilanie: PoE, ekranowane metalem gniazdo RJ-45.</v>
      </c>
      <c r="K28" s="43" t="s">
        <v>189</v>
      </c>
      <c r="L28" s="44">
        <v>1450.0</v>
      </c>
      <c r="M28" s="8"/>
      <c r="N28" s="45" t="s">
        <v>22</v>
      </c>
      <c r="O28" s="97"/>
      <c r="P28" s="36"/>
      <c r="Q28" s="35"/>
      <c r="R28" s="68"/>
      <c r="S28" s="68"/>
      <c r="T28" s="68"/>
      <c r="U28" s="35"/>
      <c r="V28" s="35"/>
      <c r="W28" s="35"/>
      <c r="X28" s="35"/>
      <c r="Y28" s="35"/>
      <c r="Z28" s="35"/>
      <c r="AA28" s="35"/>
      <c r="AB28" s="35"/>
      <c r="AC28" s="60"/>
      <c r="AD28" s="85"/>
      <c r="AE28" s="85"/>
      <c r="AF28" s="85"/>
      <c r="AG28" s="85"/>
      <c r="AH28" s="85"/>
      <c r="AI28" s="85"/>
      <c r="AJ28" s="85"/>
      <c r="AK28" s="85"/>
      <c r="AL28" s="85"/>
      <c r="AM28" s="85"/>
      <c r="AN28" s="85"/>
      <c r="AO28" s="85"/>
      <c r="AP28" s="85"/>
    </row>
    <row r="29" ht="46.5" customHeight="1">
      <c r="A29" s="29"/>
      <c r="B29" s="38" t="s">
        <v>118</v>
      </c>
      <c r="C29" s="39" t="s">
        <v>197</v>
      </c>
      <c r="D29" s="40" t="s">
        <v>180</v>
      </c>
      <c r="E29" s="40" t="s">
        <v>168</v>
      </c>
      <c r="F29" s="40" t="s">
        <v>164</v>
      </c>
      <c r="G29" s="40" t="s">
        <v>192</v>
      </c>
      <c r="H29" s="41" t="s">
        <v>19</v>
      </c>
      <c r="I29" s="42" t="s">
        <v>198</v>
      </c>
      <c r="J29" s="42" t="str">
        <f>IFERROR(__xludf.DUMMYFUNCTION("GOOGLETRANSLATE(I29,""en"",""pl"")"),"Obsługiwana przez Wisenet 9, zewnętrzna kamera typu bullet AI IR Vandal, rozdzielczość 8 MP @ 30 kl./s, 4,4~9,3 mm (2,1x), (113°~47°) z napędem silnikowym, kodek H.265/H.264/MJPEG, widoczna długość podczerwieni 40 m (131,2 stopy), port USB-C do łatwej ins"&amp;"talacji, tryb dzień i noc (ICR), extremeWDR (120 dB), kopułka z twardą powłoką, DIS ze wbudowanym czujnikiem żyroskopowym, przekazywanie, oparta na sztucznej inteligencji technologia WiseStream, WiseNR Ⅱ (z wykorzystaniem silnika AI), dynamiczna maska ​​p"&amp;"rywatności, zdarzenia IVA oparte na silniku AI (wykrywanie ruchu i obiektów, przekroczenie linii, obszar IVA, poślizg i upadek, klasyfikacja dźwięku), sklasyfikowane typy obiektów (osoba/twarz/pojazd/tablica rejestracyjna), atrybuty obiektów (osoba: płeć/"&amp;"góra/dół ubrania) kolor/torba, twarz: wiek/płeć/maska/okulary, pojazd: typ/kolor), BestShot, zdarzenia analityczne (rozmycie, ruch, manipulacja, mgła, wykrywanie dźwięku i wstrząsów), oparta na sztucznej inteligencji inteligencja biznesowa (zliczanie osób"&amp;"/pojazdów/tłumu, zarządzanie kolejkami, mapa cieplna), bezpieczny element z FIPS 140-3 poziom 3, wbudowane gniazdo na kartę microSD (do 1 TB), IP66/IP67, IK10, NEMA 4X, NEMA-TS 2 (2.2.7.2-8, 2.2.8, 2.2.9), temperatura pracy: -40°C~+60°C (-40°F~+140°F), za"&amp;"silanie: PoE, ekranowane metalem gniazdo RJ-45.")</f>
        <v>Obsługiwana przez Wisenet 9, zewnętrzna kamera typu bullet AI IR Vandal, rozdzielczość 8 MP @ 30 kl./s, 4,4~9,3 mm (2,1x), (113°~47°) z napędem silnikowym, kodek H.265/H.264/MJPEG, widoczna długość podczerwieni 40 m (131,2 stopy), port USB-C do łatwej instalacji, tryb dzień i noc (ICR), extremeWDR (120 dB), kopułka z twardą powłoką, DIS ze wbudowanym czujnikiem żyroskopowym, przekazywanie,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obiektów (osoba: płeć/góra/dół ubrania) kolor/torba, twarz: wiek/płeć/maska/okulary, pojazd: typ/kolor), BestShot, zdarzenia analityczne (rozmycie, ruch, manipulacja, mgła, wykrywanie dźwięku i wstrząsów), oparta na sztucznej inteligencji inteligencja biznesowa (zliczanie osób/pojazdów/tłumu, zarządzanie kolejkami, mapa cieplna), bezpieczny element z FIPS 140-3 poziom 3, wbudowane gniazdo na kartę microSD (do 1 TB), IP66/IP67, IK10, NEMA 4X, NEMA-TS 2 (2.2.7.2-8, 2.2.8, 2.2.9), temperatura pracy: -40°C~+60°C (-40°F~+140°F), zasilanie: PoE, ekranowane metalem gniazdo RJ-45.</v>
      </c>
      <c r="K29" s="43" t="s">
        <v>189</v>
      </c>
      <c r="L29" s="44">
        <v>1600.0</v>
      </c>
      <c r="M29" s="8"/>
      <c r="N29" s="45" t="s">
        <v>22</v>
      </c>
      <c r="O29" s="97"/>
      <c r="P29" s="36"/>
      <c r="Q29" s="35"/>
      <c r="R29" s="68"/>
      <c r="S29" s="68"/>
      <c r="T29" s="68"/>
      <c r="U29" s="35"/>
      <c r="V29" s="35"/>
      <c r="W29" s="35"/>
      <c r="X29" s="35"/>
      <c r="Y29" s="35"/>
      <c r="Z29" s="35"/>
      <c r="AA29" s="35"/>
      <c r="AB29" s="35"/>
      <c r="AC29" s="60"/>
      <c r="AD29" s="85"/>
      <c r="AE29" s="85"/>
      <c r="AF29" s="85"/>
      <c r="AG29" s="85"/>
      <c r="AH29" s="85"/>
      <c r="AI29" s="85"/>
      <c r="AJ29" s="85"/>
      <c r="AK29" s="85"/>
      <c r="AL29" s="85"/>
      <c r="AM29" s="85"/>
      <c r="AN29" s="85"/>
      <c r="AO29" s="85"/>
      <c r="AP29" s="85"/>
    </row>
    <row r="30" ht="46.5" customHeight="1">
      <c r="A30" s="29"/>
      <c r="B30" s="38" t="s">
        <v>118</v>
      </c>
      <c r="C30" s="39" t="s">
        <v>199</v>
      </c>
      <c r="D30" s="40" t="s">
        <v>183</v>
      </c>
      <c r="E30" s="40" t="s">
        <v>168</v>
      </c>
      <c r="F30" s="40" t="s">
        <v>164</v>
      </c>
      <c r="G30" s="40" t="s">
        <v>192</v>
      </c>
      <c r="H30" s="41" t="s">
        <v>19</v>
      </c>
      <c r="I30" s="42" t="s">
        <v>200</v>
      </c>
      <c r="J30" s="42" t="str">
        <f>IFERROR(__xludf.DUMMYFUNCTION("GOOGLETRANSLATE(I30,""en"",""pl"")"),"Obsługiwana przez Wisenet 9, zewnętrzna kamera kopułkowa AI IR Vandal, rozdzielczość 8 MP @ 30 kl./s, 4,4~9,3 mm (2,1x), (113°~47°) obiektyw zmiennoogniskowy z napędem silnikowym, kodek H.265/H.264/MJPEG, widoczna długość podczerwieni 40 m (131,2 stopy), "&amp;"port USB-C do łatwej instalacji, tryb dzień i noc (ICR), extremeWDR (120 dB), kopułka z twardą powłoką, DIS ze wbudowanym czujnikiem żyroskopowym, przekazywanie, oparta na sztucznej inteligencji technologia WiseStream, WiseNR Ⅱ (z wykorzystaniem silnika A"&amp;"I), dynamiczna maska ​​prywatności, zdarzenia IVA oparte na silniku AI (wykrywanie ruchu i obiektów, przekroczenie linii, obszar IVA, poślizg i upadek, klasyfikacja dźwięku), sklasyfikowane typy obiektów (osoba/twarz/pojazd/tablica rejestracyjna), atrybut"&amp;"y obiektu (osoba: płeć/kolor ubrania na górze/na dole/torba, Twarz: wiek/płeć/maska/okulary, pojazd: typ/kolor), BestShot, zdarzenia analityczne (rozmycie, ruch, manipulacja, mgła, wykrywanie dźwięku i wstrząsów), oparta na sztucznej inteligencji analiza "&amp;"biznesowa (zliczanie osób/pojazdów/tłumu, zarządzanie kolejkami, mapa cieplna), bezpieczny element z certyfikatem FIPS 140-3 poziomu 3, wbudowane gniazdo na kartę microSD (do 1 TB), IP66/IP67, IK10, NEMA 4X, NEMA-TS 2 (2.2.7.2-8, 2.2.8, 2.2.9), temperatur"&amp;"a pracy: -40°C~+50°C (-40°F~+122°F), zasilanie: PoE, ekranowane metalem gniazdo RJ-45.")</f>
        <v>Obsługiwana przez Wisenet 9, zewnętrzna kamera kopułkowa AI IR Vandal, rozdzielczość 8 MP @ 30 kl./s, 4,4~9,3 mm (2,1x), (113°~47°) obiektyw zmiennoogniskowy z napędem silnikowym, kodek H.265/H.264/MJPEG, widoczna długość podczerwieni 40 m (131,2 stopy), port USB-C do łatwej instalacji, tryb dzień i noc (ICR), extremeWDR (120 dB), kopułka z twardą powłoką, DIS ze wbudowanym czujnikiem żyroskopowym, przekazywanie,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obiektu (osoba: płeć/kolor ubrania na górze/na dole/torba, Twarz: wiek/płeć/maska/okulary, pojazd: typ/kolor), BestShot, zdarzenia analityczne (rozmycie, ruch, manipulacja, mgła, wykrywanie dźwięku i wstrząsów), oparta na sztucznej inteligencji analiza biznesowa (zliczanie osób/pojazdów/tłumu, zarządzanie kolejkami, mapa cieplna), bezpieczny element z certyfikatem FIPS 140-3 poziomu 3, wbudowane gniazdo na kartę microSD (do 1 TB), IP66/IP67, IK10, NEMA 4X, NEMA-TS 2 (2.2.7.2-8, 2.2.8, 2.2.9), temperatura pracy: -40°C~+50°C (-40°F~+122°F), zasilanie: PoE, ekranowane metalem gniazdo RJ-45.</v>
      </c>
      <c r="K30" s="43" t="s">
        <v>189</v>
      </c>
      <c r="L30" s="44">
        <v>1600.0</v>
      </c>
      <c r="M30" s="8"/>
      <c r="N30" s="45" t="s">
        <v>22</v>
      </c>
      <c r="O30" s="97"/>
      <c r="P30" s="36"/>
      <c r="Q30" s="35"/>
      <c r="R30" s="68"/>
      <c r="S30" s="68"/>
      <c r="T30" s="68"/>
      <c r="U30" s="35"/>
      <c r="V30" s="35"/>
      <c r="W30" s="35"/>
      <c r="X30" s="35"/>
      <c r="Y30" s="35"/>
      <c r="Z30" s="35"/>
      <c r="AA30" s="35"/>
      <c r="AB30" s="35"/>
      <c r="AC30" s="60"/>
      <c r="AD30" s="85"/>
      <c r="AE30" s="85"/>
      <c r="AF30" s="85"/>
      <c r="AG30" s="85"/>
      <c r="AH30" s="85"/>
      <c r="AI30" s="85"/>
      <c r="AJ30" s="85"/>
      <c r="AK30" s="85"/>
      <c r="AL30" s="85"/>
      <c r="AM30" s="85"/>
      <c r="AN30" s="85"/>
      <c r="AO30" s="85"/>
      <c r="AP30" s="85"/>
    </row>
    <row r="31" ht="112.5" customHeight="1">
      <c r="A31" s="29"/>
      <c r="B31" s="38" t="s">
        <v>118</v>
      </c>
      <c r="C31" s="39" t="s">
        <v>201</v>
      </c>
      <c r="D31" s="40" t="s">
        <v>202</v>
      </c>
      <c r="E31" s="40" t="s">
        <v>168</v>
      </c>
      <c r="F31" s="40" t="s">
        <v>164</v>
      </c>
      <c r="G31" s="39" t="s">
        <v>131</v>
      </c>
      <c r="H31" s="41" t="s">
        <v>203</v>
      </c>
      <c r="I31" s="42" t="s">
        <v>204</v>
      </c>
      <c r="J31" s="42" t="str">
        <f>IFERROR(__xludf.DUMMYFUNCTION("GOOGLETRANSLATE(I31,""en"",""pl"")"),"Seria X zasilana przez kamerę sieciową AI box Wisenet 7, progresywny przetwornik CMOS 1/1,8"", 8MP @30fps, 0,03 luksa przy F1,2 (kolor), 0,03 luksa przy F1,2 (czarno-biały), 30IRE z prostym ustawianiem ostrości, potrójny kodek H.265/H.264/MJPEG z WiseStre"&amp;"am III, strumieniowanie wielokrotne, WDR 120 dB, True Day &amp; Night (ICR), zdarzenia analityczne oparte na silniku AI (NPU): wykrywanie obiektów (osoba/twarz/pojazd — samochód, ciężarówka, autobus, rower, motocykl/tablica rejestracyjna), IVA (wirtualna lini"&amp;"a/obszar, wejście/wyjście, wałęsanie się, kierunek, wtargnięcie), zdarzenia analityczne: wykrywanie braku ostrości, wykrywanie ruchu, manipulacja, wykrywanie mgły, wykrywanie dźwięku, klasyfikacja dźwięku, wykrywanie wstrząsów, pojawianie się/znikanie, cy"&amp;"frowa stabilizacja obrazu z wbudowanym czujnikiem żyroskopowym, dwukierunkowy dźwięk i podwójny Gniazdo SD/SDHC/SDXC, port USB ułatwiający instalację, PoE/12 V DC ※ Obiektyw nie jest dołączony")</f>
        <v>Seria X zasilana przez kamerę sieciową AI box Wisenet 7, progresywny przetwornik CMOS 1/1,8", 8MP @30fps, 0,03 luksa przy F1,2 (kolor), 0,03 luksa przy F1,2 (czarno-biały), 30IRE z prostym ustawianiem ostrości, potrójny kodek H.265/H.264/MJPEG z WiseStream III, strumieniowanie wielokrotne, WDR 120 dB, True Day &amp; Night (ICR),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podwójny Gniazdo SD/SDHC/SDXC, port USB ułatwiający instalację, PoE/12 V DC ※ Obiektyw nie jest dołączony</v>
      </c>
      <c r="K31" s="43" t="s">
        <v>21</v>
      </c>
      <c r="L31" s="44">
        <v>1150.0</v>
      </c>
      <c r="M31" s="8"/>
      <c r="N31" s="45" t="s">
        <v>22</v>
      </c>
      <c r="O31" s="97"/>
      <c r="P31" s="36"/>
      <c r="Q31" s="35"/>
      <c r="R31" s="68"/>
      <c r="S31" s="68"/>
      <c r="T31" s="68"/>
      <c r="U31" s="35"/>
      <c r="V31" s="35"/>
      <c r="W31" s="35"/>
      <c r="X31" s="35"/>
      <c r="Y31" s="35"/>
      <c r="Z31" s="35"/>
      <c r="AA31" s="35"/>
      <c r="AB31" s="35"/>
      <c r="AC31" s="60"/>
      <c r="AD31" s="85"/>
      <c r="AE31" s="85"/>
      <c r="AF31" s="85"/>
      <c r="AG31" s="85"/>
      <c r="AH31" s="85"/>
      <c r="AI31" s="85"/>
      <c r="AJ31" s="85"/>
      <c r="AK31" s="85"/>
      <c r="AL31" s="85"/>
      <c r="AM31" s="85"/>
      <c r="AN31" s="85"/>
      <c r="AO31" s="85"/>
      <c r="AP31" s="85"/>
    </row>
    <row r="32" ht="120.0" customHeight="1">
      <c r="A32" s="29"/>
      <c r="B32" s="38" t="s">
        <v>118</v>
      </c>
      <c r="C32" s="39" t="s">
        <v>205</v>
      </c>
      <c r="D32" s="40" t="s">
        <v>180</v>
      </c>
      <c r="E32" s="40" t="s">
        <v>168</v>
      </c>
      <c r="F32" s="40" t="s">
        <v>164</v>
      </c>
      <c r="G32" s="39" t="s">
        <v>18</v>
      </c>
      <c r="H32" s="41" t="s">
        <v>19</v>
      </c>
      <c r="I32" s="42" t="s">
        <v>206</v>
      </c>
      <c r="J32" s="42" t="str">
        <f>IFERROR(__xludf.DUMMYFUNCTION("GOOGLETRANSLATE(I32,""en"",""pl"")"),"Seria X zasilana przez kamerę zewnętrzną typu bullet z AI Wisenet 7, 8 MP @30fps, obiektyw zmiennoogniskowy z napędem silnikowym 4,4~9,3 mm (2,1x), potrójny kodek H.265/H.264/MJPEG z WiseStream III, strumieniowanie wielokrotne, ekstremalny WDR (120 dB), a"&amp;"utomatyczny tryb dzień/noc (ICR), widoczna długość podczerwieni 40 m, cyberbezpieczeństwo następnego poziomu, zdarzenia analityczne oparte na silniku AI (NPU): wykrywanie obiektów (osoba/twarz/pojazd — samochód, ciężarówka, autobus, rower, motocykl/tablic"&amp;"a rejestracyjna), IVA (wirtualna linia/obszar, wejście/wyjście, włóczęgostwo, kierunek, wtargnięcie), zdarzenia analityczne: wykrywanie braku ostrości, wykrywanie ruchu, manipulacja, wykrywanie mgły, wykrywanie dźwięku, klasyfikacja dźwięku, wykrywanie ws"&amp;"trząsów, pojawianie się/znikanie, cyfrowa stabilizacja obrazu z wbudowanym czujnikiem żyroskopowym, dwukierunkowy dźwięk i gniazdo microSD/SDHC/SDXC, IP66/IP67, IK10, NEMA4X, PoE/12 V DC")</f>
        <v>Seria X zasilana przez kamerę zewnętrzną typu bullet z AI Wisenet 7, 8 MP @30fps, obiektyw zmiennoogniskowy z napędem silnikowym 4,4~9,3 mm (2,1x), potrójny kodek H.265/H.264/MJPEG z WiseStream III, strumieniowanie wielokrotne, ekstremalny WDR (120 dB), automatyczny tryb dzień/noc (ICR), widoczna długość podczerwieni 40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gniazdo microSD/SDHC/SDXC, IP66/IP67, IK10, NEMA4X, PoE/12 V DC</v>
      </c>
      <c r="K32" s="43" t="s">
        <v>21</v>
      </c>
      <c r="L32" s="44">
        <v>1750.0</v>
      </c>
      <c r="M32" s="8"/>
      <c r="N32" s="45" t="s">
        <v>22</v>
      </c>
      <c r="O32" s="97"/>
      <c r="P32" s="36"/>
      <c r="Q32" s="35"/>
      <c r="R32" s="68"/>
      <c r="S32" s="68"/>
      <c r="T32" s="68"/>
      <c r="U32" s="35"/>
      <c r="V32" s="35"/>
      <c r="W32" s="35"/>
      <c r="X32" s="35"/>
      <c r="Y32" s="35"/>
      <c r="Z32" s="35"/>
      <c r="AA32" s="35"/>
      <c r="AB32" s="35"/>
      <c r="AC32" s="60"/>
      <c r="AD32" s="85"/>
      <c r="AE32" s="85"/>
      <c r="AF32" s="85"/>
      <c r="AG32" s="85"/>
      <c r="AH32" s="85"/>
      <c r="AI32" s="85"/>
      <c r="AJ32" s="85"/>
      <c r="AK32" s="85"/>
      <c r="AL32" s="85"/>
      <c r="AM32" s="85"/>
      <c r="AN32" s="85"/>
      <c r="AO32" s="85"/>
      <c r="AP32" s="85"/>
    </row>
    <row r="33" ht="126.75" customHeight="1">
      <c r="A33" s="29"/>
      <c r="B33" s="38" t="s">
        <v>118</v>
      </c>
      <c r="C33" s="39" t="s">
        <v>207</v>
      </c>
      <c r="D33" s="40" t="s">
        <v>187</v>
      </c>
      <c r="E33" s="40" t="s">
        <v>168</v>
      </c>
      <c r="F33" s="40" t="s">
        <v>164</v>
      </c>
      <c r="G33" s="39" t="s">
        <v>184</v>
      </c>
      <c r="H33" s="41" t="s">
        <v>19</v>
      </c>
      <c r="I33" s="48" t="s">
        <v>208</v>
      </c>
      <c r="J33" s="42" t="str">
        <f>IFERROR(__xludf.DUMMYFUNCTION("GOOGLETRANSLATE(I33,""en"",""pl"")"),"Seria X zasilana przez zewnętrzną kamerę kopułkową Wisenet 7 AI IR, 8 MP @30 kl./s, obiektyw zmiennoogniskowy z napędem silnikowym 4,4 ~ 9,3 mm (2,1x) (112,1°~47,5°), potrójny kodek H.265/H.264/MJPEG z WiseStream III, strumieniowanie wielokrotne, WDR 120 "&amp;"dB, True Day &amp; Night (ICR), diody LED IR o dużej mocy z widoczną długością podczerwieni 40 m, zdarzenia analityczne oparte na silniku AI (NPU): wykrywanie obiektów (osoba/twarz/pojazd – samochód, ciężarówka, autobus, rower, motocykl/tablica rejestracyjna)"&amp;", IVA (wirtualna linia/obszar, wejście/wyjście, wałęsanie się, kierunek, wtargnięcie), zdarzenia analityczne: wykrywanie braku ostrości, wykrywanie ruchu, manipulacja, wykrywanie mgły, HLC, cyfrowa stabilizacja obrazu z czujnikiem żyroskopowym, dwukierunk"&amp;"owy dźwięk i pojedynczy Gniazdo microSD/SDHC/SDXC, ONVIF S/G/T, port USB ułatwiający instalację, IP67/IP66, IK10, Nema 4X, PoE/12 V DC, w zestawie białe nakładki")</f>
        <v>Seria X zasilana przez zewnętrzną kamerę kopułkową Wisenet 7 AI IR, 8 MP @30 kl./s, obiektyw zmiennoogniskowy z napędem silnikowym 4,4 ~ 9,3 mm (2,1x) (112,1°~47,5°), potrójny kodek H.265/H.264/MJPEG z WiseStream III, strumieniowanie wielokrotne, WDR 120 dB, True Day &amp; Night (ICR), diody LED IR o dużej mocy z widoczną długością podczerwieni 40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IP67/IP66, IK10, Nema 4X, PoE/12 V DC, w zestawie białe nakładki</v>
      </c>
      <c r="K33" s="43" t="s">
        <v>189</v>
      </c>
      <c r="L33" s="44">
        <v>1750.0</v>
      </c>
      <c r="M33" s="8"/>
      <c r="N33" s="45" t="s">
        <v>22</v>
      </c>
      <c r="O33" s="97"/>
      <c r="P33" s="36"/>
      <c r="Q33" s="35"/>
      <c r="R33" s="68"/>
      <c r="S33" s="68"/>
      <c r="T33" s="68"/>
      <c r="U33" s="35"/>
      <c r="V33" s="35"/>
      <c r="W33" s="35"/>
      <c r="X33" s="35"/>
      <c r="Y33" s="35"/>
      <c r="Z33" s="35"/>
      <c r="AA33" s="35"/>
      <c r="AB33" s="35"/>
      <c r="AC33" s="60"/>
      <c r="AD33" s="85"/>
      <c r="AE33" s="85"/>
      <c r="AF33" s="85"/>
      <c r="AG33" s="85"/>
      <c r="AH33" s="85"/>
      <c r="AI33" s="85"/>
      <c r="AJ33" s="85"/>
      <c r="AK33" s="85"/>
      <c r="AL33" s="85"/>
      <c r="AM33" s="85"/>
      <c r="AN33" s="85"/>
      <c r="AO33" s="85"/>
      <c r="AP33" s="85"/>
    </row>
    <row r="34" ht="120.0" customHeight="1">
      <c r="A34" s="29"/>
      <c r="B34" s="38" t="s">
        <v>118</v>
      </c>
      <c r="C34" s="39" t="s">
        <v>209</v>
      </c>
      <c r="D34" s="40" t="s">
        <v>191</v>
      </c>
      <c r="E34" s="40" t="s">
        <v>168</v>
      </c>
      <c r="F34" s="40" t="s">
        <v>164</v>
      </c>
      <c r="G34" s="40" t="s">
        <v>192</v>
      </c>
      <c r="H34" s="41" t="s">
        <v>19</v>
      </c>
      <c r="I34" s="42" t="s">
        <v>210</v>
      </c>
      <c r="J34" s="42" t="str">
        <f>IFERROR(__xludf.DUMMYFUNCTION("GOOGLETRANSLATE(I34,""en"",""pl"")"),"Seria X zasilana przez kamerę kopułkową Wisenet 7 AI IR do użytku wewnątrz budynków, 8 MP @30 kl./s, obiektyw zmiennoogniskowy z napędem silnikowym 4,4 ~ 9,3 mm (2,1x) (112,1°~47,5°), potrójny kodek H.265/H.264/MJPEG z WiseStream II, strumieniowanie wielo"&amp;"krotne, WDR 120 dB, True Day &amp; Night (ICR), diody LED IR o dużej mocy z widoczną długością podczerwieni 40 m, zdarzenia analityczne oparte na silniku AI (NPU): wykrywanie obiektów (osoby/twarz/pojazdy – samochód, ciężarówka, autobus, rower, motocykl/tabli"&amp;"ca rejestracyjna), IVA (wirtualna linia/obszar, wejście/wyjście, wałęsanie się, kierunek, wtargnięcie), zdarzenia analityczne: wykrywanie braku ostrości, wykrywanie ruchu, manipulacja, wykrywanie mgły, HLC, cyfrowa stabilizacja obrazu z czujnikiem żyrosko"&amp;"powym, dwukierunkowy dźwięk i pojedynczy Gniazdo microSD/SDHC/SDXC, ONVIF S/G/T, port USB ułatwiający instalację, IP52, IK10, PoE/12 V DC, w zestawie białe nakładki")</f>
        <v>Seria X zasilana przez kamerę kopułkową Wisenet 7 AI IR do użytku wewnątrz budynków, 8 MP @30 kl./s, obiektyw zmiennoogniskowy z napędem silnikowym 4,4 ~ 9,3 mm (2,1x) (112,1°~47,5°), potrójny kodek H.265/H.264/MJPEG z WiseStream II, strumieniowanie wielokrotne, WDR 120 dB, True Day &amp; Night (ICR), diody LED IR o dużej mocy z widoczną długością podczerwieni 40 m, zdarzenia analityczne oparte na silniku AI (NPU): wykrywanie obiektów (osoby/twarz/pojazdy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IP52, IK10, PoE/12 V DC, w zestawie białe nakładki</v>
      </c>
      <c r="K34" s="43" t="s">
        <v>189</v>
      </c>
      <c r="L34" s="44">
        <v>1550.0</v>
      </c>
      <c r="M34" s="8"/>
      <c r="N34" s="45" t="s">
        <v>22</v>
      </c>
      <c r="O34" s="97"/>
      <c r="P34" s="36"/>
      <c r="Q34" s="35"/>
      <c r="R34" s="68"/>
      <c r="S34" s="68"/>
      <c r="T34" s="68"/>
      <c r="U34" s="35"/>
      <c r="V34" s="35"/>
      <c r="W34" s="35"/>
      <c r="X34" s="35"/>
      <c r="Y34" s="35"/>
      <c r="Z34" s="35"/>
      <c r="AA34" s="35"/>
      <c r="AB34" s="35"/>
      <c r="AC34" s="60"/>
      <c r="AD34" s="85"/>
      <c r="AE34" s="85"/>
      <c r="AF34" s="85"/>
      <c r="AG34" s="85"/>
      <c r="AH34" s="85"/>
      <c r="AI34" s="85"/>
      <c r="AJ34" s="85"/>
      <c r="AK34" s="85"/>
      <c r="AL34" s="85"/>
      <c r="AM34" s="85"/>
      <c r="AN34" s="85"/>
      <c r="AO34" s="85"/>
      <c r="AP34" s="85"/>
    </row>
    <row r="35" ht="46.5" customHeight="1">
      <c r="A35" s="29"/>
      <c r="B35" s="38" t="s">
        <v>118</v>
      </c>
      <c r="C35" s="99" t="s">
        <v>211</v>
      </c>
      <c r="D35" s="40" t="s">
        <v>212</v>
      </c>
      <c r="E35" s="40" t="s">
        <v>16</v>
      </c>
      <c r="F35" s="40" t="s">
        <v>164</v>
      </c>
      <c r="G35" s="39" t="s">
        <v>213</v>
      </c>
      <c r="H35" s="41" t="s">
        <v>19</v>
      </c>
      <c r="I35" s="42" t="s">
        <v>214</v>
      </c>
      <c r="J35" s="42" t="str">
        <f>IFERROR(__xludf.DUMMYFUNCTION("GOOGLETRANSLATE(I35,""en"",""pl"")"),"Obsługiwana przez Wisenet 9, wytrzymała kamera PTZ z pozycjonowaniem AI, rozdzielczość 4K przy 30 kl./s, obiektyw z autofokusem 6,1 mm~262,4 mm (43x), adaptacyjny Wise IR (450 m), extremeWDR 120 dB, dzień i noc (ICR), kodek H.265/H.264/MJPEG, optyczna sta"&amp;"bilizacja obrazu, przekazywanie, WiseStream oparty na sztucznej inteligencji, WiseNR Ⅱ (używający silnika AI), dynamiczna maska ​​prywatności, zdarzenia IVA oparte na silniku AI: wykrywanie ruchu i obiektów, przekroczenie linii (przekroczenie/kierunek), o"&amp;"bszar IVA (włóczęgostwo/wtargnięcie/wejście/wyjście/pojawienie się/zniknięcie), poślizg i upadek, klasyfikowane typy obiektów: (osoba/twarz/pojazd/tablica rejestracyjna), atrybuty obiektu (osoba: płeć/kolor górnej/dolnej części ubrania/torba, twarz: Wiek/"&amp;"Płeć/Maska/Okulary, Pojazd: typ/kolor), BestShot, Zdarzenia analityczne (manipulacja, wykrywanie wstrząsów, wykrywanie dźwięku), Wykrywanie dźwięku, Klasyfikacja dźwięku (z NW I/O box), Automatyczne śledzenie obiektów AI (osoba/pojazd) ze śledzeniem bloka"&amp;"dy celu, Bezpieczny element z FIPS 140-3 poziom 3, Wbudowane gniazdo na kartę microSD (do 1 TB), IP66/IP68, IK10 (z wyjątkiem okna), NEMA 4X, NEMA-TS 2 (2.2.7.2-8, 2.2.8, 2.2.9), MIL-STD-810H ASTM B117, Temperatura pracy: -50°C~+60°C (-58°F~+140°F), Obcią"&amp;"żenie wiatrem 258 km/h (160 mph), Zasilanie: HPoE IEEE802.3bt typ 4, Klasa 8 (wtryskiwacz PoE nie jest dołączony), Ekranowany metalem RJ-45, biały.")</f>
        <v>Obsługiwana przez Wisenet 9, wytrzymała kamera PTZ z pozycjonowaniem AI, rozdzielczość 4K przy 30 kl./s, obiektyw z autofokusem 6,1 mm~262,4 mm (43x), adaptacyjny Wise IR (450 m), extremeWDR 120 dB, dzień i noc (ICR), kodek H.265/H.264/MJPEG, optyczna stabilizacja obrazu, przekazywanie, WiseStream oparty na sztucznej inteligencji, WiseNR Ⅱ (używający silnika AI), dynamiczna maska ​​prywatności, zdarzenia IVA oparte na silniku AI: wykrywanie ruchu i obiektów, przekroczenie linii (przekroczenie/kierunek), obszar IVA (włóczęgostwo/wtargnięcie/wejście/wyjście/pojawienie się/zniknięcie), poślizg i upadek, klasyfikowane typy obiektów: (osoba/twarz/pojazd/tablica rejestracyjna), atrybuty obiektu (osoba: płeć/kolor górnej/dolnej części ubrania/torba, twarz: Wiek/Płeć/Maska/Okulary, Pojazd: typ/kolor), BestShot, Zdarzenia analityczne (manipulacja, wykrywanie wstrząsów, wykrywanie dźwięku), Wykrywanie dźwięku, Klasyfikacja dźwięku (z NW I/O box), Automatyczne śledzenie obiektów AI (osoba/pojazd) ze śledzeniem blokady celu, Bezpieczny element z FIPS 140-3 poziom 3, Wbudowane gniazdo na kartę microSD (do 1 TB), IP66/IP68, IK10 (z wyjątkiem okna), NEMA 4X, NEMA-TS 2 (2.2.7.2-8, 2.2.8, 2.2.9), MIL-STD-810H ASTM B117, Temperatura pracy: -50°C~+60°C (-58°F~+140°F), Obciążenie wiatrem 258 km/h (160 mph), Zasilanie: HPoE IEEE802.3bt typ 4, Klasa 8 (wtryskiwacz PoE nie jest dołączony), Ekranowany metalem RJ-45, biały.</v>
      </c>
      <c r="K35" s="100" t="s">
        <v>21</v>
      </c>
      <c r="L35" s="44">
        <v>9925.0</v>
      </c>
      <c r="M35" s="8"/>
      <c r="N35" s="45" t="s">
        <v>22</v>
      </c>
      <c r="O35" s="97"/>
      <c r="P35" s="36"/>
      <c r="Q35" s="35"/>
      <c r="R35" s="68"/>
      <c r="S35" s="68"/>
      <c r="T35" s="68"/>
      <c r="U35" s="35"/>
      <c r="V35" s="35"/>
      <c r="W35" s="35"/>
      <c r="X35" s="35"/>
      <c r="Y35" s="35"/>
      <c r="Z35" s="35"/>
      <c r="AA35" s="35"/>
      <c r="AB35" s="35"/>
      <c r="AC35" s="60"/>
      <c r="AD35" s="85"/>
      <c r="AE35" s="85"/>
      <c r="AF35" s="85"/>
      <c r="AG35" s="85"/>
      <c r="AH35" s="85"/>
      <c r="AI35" s="85"/>
      <c r="AJ35" s="85"/>
      <c r="AK35" s="85"/>
      <c r="AL35" s="85"/>
      <c r="AM35" s="85"/>
      <c r="AN35" s="85"/>
      <c r="AO35" s="85"/>
      <c r="AP35" s="85"/>
    </row>
    <row r="36" ht="120.0" customHeight="1">
      <c r="A36" s="29"/>
      <c r="B36" s="38" t="s">
        <v>118</v>
      </c>
      <c r="C36" s="99" t="s">
        <v>215</v>
      </c>
      <c r="D36" s="40" t="s">
        <v>216</v>
      </c>
      <c r="E36" s="40" t="s">
        <v>168</v>
      </c>
      <c r="F36" s="40" t="s">
        <v>164</v>
      </c>
      <c r="G36" s="39" t="s">
        <v>213</v>
      </c>
      <c r="H36" s="41" t="s">
        <v>19</v>
      </c>
      <c r="I36" s="42" t="s">
        <v>217</v>
      </c>
      <c r="J36" s="42" t="str">
        <f>IFERROR(__xludf.DUMMYFUNCTION("GOOGLETRANSLATE(I36,""en"",""pl"")"),"Seria X oparta na Wisenet 7 i AI, rozdzielczość 8 MP (4K UHD) przy 30 kl./s, obiektyw 6,91 mm ~ 214,64 mm (31x) z inteligentnym autofokusem Wise AF, adaptacyjny Wise IR (250 m), ekstremalny WDR 120 dB, Day &amp; Night ICR, H.265, H.264, potrójny kodek MJPEG z"&amp;" obsługą WiseStream III (na podstawie silnika AI), zdarzenia analityczne oparte na silniku AI: wykrywanie obiektów (osoba/twarz/pojazd/tablica rejestracyjna), wirtualna linia (przejście/kierunek), wirtualny obszar (włóczęgostwo/wtargnięcie/wejście/wyjście"&amp;"), zdarzenia analityczne: wykrywanie braku ostrości, wykrywanie ruchu, manipulacja, wykrywanie mgły, wykrywanie dźwięku, klasyfikacja dźwięku (z NW I/O box), automatyczne śledzenie obiektów AI (osoba/pojazd) ze śledzeniem blokady celu, BLC, HLC, SSDR, pod"&amp;"grzewacz obiektywu do usuwania wody/śniegu, IP66, IP67, IK10, NEMA4X, NEMA-TS 2 (2.2.8, 2.2.9), FIPS 140-2, w zestawie wtryskiwacz HPoE, temperatura pracy od -50°C do +55°C (od -58°F do +131°F), (kompatybilny z modułem I/O SPM-4210)")</f>
        <v>Seria X oparta na Wisenet 7 i AI, rozdzielczość 8 MP (4K UHD) przy 30 kl./s, obiektyw 6,91 mm ~ 214,64 mm (31x) z inteligentnym autofokusem Wise AF, adaptacyjny Wise IR (250 m), ekstremalny WDR 120 dB, Day &amp; Night ICR, H.265, H.264, potrójny kodek MJPEG z obsługą WiseStream III (na podstawie silnika AI), zdarzenia analityczne oparte na silniku AI: wykrywanie obiektów (osoba/twarz/pojazd/tablica rejestracyjna), wirtualna linia (przejście/kierunek), wirtualny obszar (włóczęgostwo/wtargnięcie/wejście/wyjście), zdarzenia analityczne: wykrywanie braku ostrości, wykrywanie ruchu, manipulacja, wykrywanie mgły, wykrywanie dźwięku, klasyfikacja dźwięku (z NW I/O box), automatyczne śledzenie obiektów AI (osoba/pojazd) ze śledzeniem blokady celu, BLC, HLC, SSDR, podgrzewacz obiektywu do usuwania wody/śniegu, IP66, IP67, IK10, NEMA4X, NEMA-TS 2 (2.2.8, 2.2.9), FIPS 140-2, w zestawie wtryskiwacz HPoE, temperatura pracy od -50°C do +55°C (od -58°F do +131°F), (kompatybilny z modułem I/O SPM-4210)</v>
      </c>
      <c r="K36" s="100" t="s">
        <v>21</v>
      </c>
      <c r="L36" s="44">
        <v>5100.0</v>
      </c>
      <c r="M36" s="8"/>
      <c r="N36" s="45" t="s">
        <v>22</v>
      </c>
      <c r="O36" s="97"/>
      <c r="P36" s="36"/>
      <c r="Q36" s="35"/>
      <c r="R36" s="68"/>
      <c r="S36" s="68"/>
      <c r="T36" s="68"/>
      <c r="U36" s="35"/>
      <c r="V36" s="35"/>
      <c r="W36" s="35"/>
      <c r="X36" s="35"/>
      <c r="Y36" s="35"/>
      <c r="Z36" s="35"/>
      <c r="AA36" s="35"/>
      <c r="AB36" s="35"/>
      <c r="AC36" s="60"/>
      <c r="AD36" s="85"/>
      <c r="AE36" s="85"/>
      <c r="AF36" s="85"/>
      <c r="AG36" s="85"/>
      <c r="AH36" s="85"/>
      <c r="AI36" s="85"/>
      <c r="AJ36" s="85"/>
      <c r="AK36" s="85"/>
      <c r="AL36" s="85"/>
      <c r="AM36" s="85"/>
      <c r="AN36" s="85"/>
      <c r="AO36" s="85"/>
      <c r="AP36" s="85"/>
    </row>
    <row r="37" ht="120.0" customHeight="1">
      <c r="A37" s="29"/>
      <c r="B37" s="38" t="s">
        <v>118</v>
      </c>
      <c r="C37" s="99" t="s">
        <v>218</v>
      </c>
      <c r="D37" s="40" t="s">
        <v>219</v>
      </c>
      <c r="E37" s="40" t="s">
        <v>168</v>
      </c>
      <c r="F37" s="40" t="s">
        <v>164</v>
      </c>
      <c r="G37" s="39" t="s">
        <v>213</v>
      </c>
      <c r="H37" s="41" t="s">
        <v>19</v>
      </c>
      <c r="I37" s="42" t="s">
        <v>220</v>
      </c>
      <c r="J37" s="42" t="str">
        <f>IFERROR(__xludf.DUMMYFUNCTION("GOOGLETRANSLATE(I37,""en"",""pl"")"),"Seria X zasilana przez zewnętrzną kamerę sieciową IR PTZ Wisenet 7 AI, 8 MP @30fps, obiektyw z 30-krotnym zoomem optycznym (5 ~ 150mm) (57,42º ~ 2,19º), zakres panoramowania 360° bez ograniczeń, prędkość panoramowania 500°/sek., pochylenie: -20° ~ 90°, po"&amp;"trójny kodek H.265/H.264/MJPEG z WiseStream II, strumieniowanie wielokrotne, ekstremalny WDR (120dB), True Day &amp; Night (ICR), widoczna długość podczerwieni 200m, zdarzenia analityczne oparte na silniku AI, wykrywanie rozmycia / ruchu / mgły / wstrząsów, m"&amp;"anipulacja, strefa wirtualna, sklasyfikowany obiekt (osoba/twarz/pojazd/tablica rejestracyjna), atrybuty (typ pojazdu), automatyczne śledzenie obiektu (osoba/pojazd), śledzenie blokady celu, cyfrowa stabilizacja obrazu z wbudowaną funkcją Czujnik żyroskop"&amp;"owy, 2 gniazda Micro SD/SDHC/SDXC do 1 TB, IP66, IK10, NEMA4X, NEMA-TS2, PoE+, wbudowana wycieraczka
* Wyjścia alarmowe, detekcja dźwięku, klasyfikacja dźwięku (z modułem NW I/O, który można kupić osobno)")</f>
        <v>Seria X zasilana przez zewnętrzną kamerę sieciową IR PTZ Wisenet 7 AI, 8 MP @30fps, obiektyw z 30-krotnym zoomem optycznym (5 ~ 150mm) (57,42º ~ 2,19º), zakres panoramowania 360° bez ograniczeń, prędkość panoramowania 500°/sek., pochylenie: -20° ~ 90°, potrójny kodek H.265/H.264/MJPEG z WiseStream II, strumieniowanie wielokrotne, ekstremalny WDR (120dB), True Day &amp; Night (ICR), widoczna długość podczerwieni 200m,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wbudowaną funkcją Czujnik żyroskopowy, 2 gniazda Micro SD/SDHC/SDXC do 1 TB, IP66, IK10, NEMA4X, NEMA-TS2, PoE+, wbudowana wycieraczka
* Wyjścia alarmowe, detekcja dźwięku, klasyfikacja dźwięku (z modułem NW I/O, który można kupić osobno)</v>
      </c>
      <c r="K37" s="100" t="s">
        <v>21</v>
      </c>
      <c r="L37" s="44">
        <v>5100.0</v>
      </c>
      <c r="M37" s="8"/>
      <c r="N37" s="45" t="s">
        <v>22</v>
      </c>
      <c r="O37" s="97"/>
      <c r="P37" s="36"/>
      <c r="Q37" s="35"/>
      <c r="R37" s="68"/>
      <c r="S37" s="68"/>
      <c r="T37" s="68"/>
      <c r="U37" s="35"/>
      <c r="V37" s="35"/>
      <c r="W37" s="35"/>
      <c r="X37" s="35"/>
      <c r="Y37" s="35"/>
      <c r="Z37" s="35"/>
      <c r="AA37" s="35"/>
      <c r="AB37" s="35"/>
      <c r="AC37" s="60"/>
      <c r="AD37" s="85"/>
      <c r="AE37" s="85"/>
      <c r="AF37" s="85"/>
      <c r="AG37" s="85"/>
      <c r="AH37" s="85"/>
      <c r="AI37" s="85"/>
      <c r="AJ37" s="85"/>
      <c r="AK37" s="85"/>
      <c r="AL37" s="85"/>
      <c r="AM37" s="85"/>
      <c r="AN37" s="85"/>
      <c r="AO37" s="85"/>
      <c r="AP37" s="85"/>
    </row>
    <row r="38" ht="120.0" customHeight="1">
      <c r="A38" s="29"/>
      <c r="B38" s="38" t="s">
        <v>118</v>
      </c>
      <c r="C38" s="99" t="s">
        <v>221</v>
      </c>
      <c r="D38" s="40" t="s">
        <v>222</v>
      </c>
      <c r="E38" s="40" t="s">
        <v>168</v>
      </c>
      <c r="F38" s="40" t="s">
        <v>164</v>
      </c>
      <c r="G38" s="39" t="s">
        <v>213</v>
      </c>
      <c r="H38" s="41" t="s">
        <v>19</v>
      </c>
      <c r="I38" s="42" t="s">
        <v>223</v>
      </c>
      <c r="J38" s="42" t="str">
        <f>IFERROR(__xludf.DUMMYFUNCTION("GOOGLETRANSLATE(I38,""en"",""pl"")"),"Seria X zasilana przez zewnętrzną kamerę PTZ AI IR z siecią Wisenet 7, 8 MP @30 kl./s, obiektyw z zoomem optycznym 25x (5 ~ 125 mm) (57,42º ~ 2,71º), zakres panoramowania 360° bez ograniczeń, prędkość panoramowania 700°/sek., pochylenie: -20° ~ 90°, potró"&amp;"jny kodek H.265/H.264/MJPEG z WiseStream II, strumieniowanie wielokrotne, ekstremalny WDR (120 dB), True Day &amp; Night (ICR), widoczna długość podczerwieni 200 m, zdarzenia analityczne oparte na silniku AI, wykrywanie rozmycia / ruchu / mgły / wstrząsów, ma"&amp;"nipulacja, strefa wirtualna, sklasyfikowany obiekt (osoba/twarz/pojazd/tablica rejestracyjna), atrybuty (typ pojazdu), automatyczne śledzenie obiektu (osoba/pojazd), śledzenie blokady celu, cyfrowa stabilizacja obrazu z wbudowaną funkcją Czujnik żyroskopo"&amp;"wy, 2 gniazda Micro SD/SDHC/SDXC do 1 TB, IP66, IK10, NEMA4X, NEMA-TS2, PoE+
* Wyjścia alarmowe, detekcja dźwięku, klasyfikacja dźwięku (z modułem NW I/O, który można kupić osobno)")</f>
        <v>Seria X zasilana przez zewnętrzną kamerę PTZ AI IR z siecią Wisenet 7, 8 MP @30 kl./s, obiektyw z zoomem optycznym 25x (5 ~ 125 mm) (57,42º ~ 2,71º), zakres panoramowania 360° bez ograniczeń, prędkość panoramowania 700°/sek., pochylenie: -20° ~ 90°, potrójny kodek H.265/H.264/MJPEG z WiseStream II, strumieniowanie wielokrotne, ekstremalny WDR (120 dB), True Day &amp; Night (ICR), widoczna długość podczerwieni 200 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wbudowaną funkcją Czujnik żyroskopowy, 2 gniazda Micro SD/SDHC/SDXC do 1 TB, IP66, IK10, NEMA4X, NEMA-TS2, PoE+
* Wyjścia alarmowe, detekcja dźwięku, klasyfikacja dźwięku (z modułem NW I/O, który można kupić osobno)</v>
      </c>
      <c r="K38" s="100" t="s">
        <v>21</v>
      </c>
      <c r="L38" s="44">
        <v>4750.0</v>
      </c>
      <c r="M38" s="8"/>
      <c r="N38" s="45" t="s">
        <v>22</v>
      </c>
      <c r="O38" s="97"/>
      <c r="P38" s="36"/>
      <c r="Q38" s="35"/>
      <c r="R38" s="68"/>
      <c r="S38" s="68"/>
      <c r="T38" s="68"/>
      <c r="U38" s="35"/>
      <c r="V38" s="35"/>
      <c r="W38" s="35"/>
      <c r="X38" s="35"/>
      <c r="Y38" s="35"/>
      <c r="Z38" s="35"/>
      <c r="AA38" s="35"/>
      <c r="AB38" s="35"/>
      <c r="AC38" s="60"/>
      <c r="AD38" s="85"/>
      <c r="AE38" s="85"/>
      <c r="AF38" s="85"/>
      <c r="AG38" s="85"/>
      <c r="AH38" s="85"/>
      <c r="AI38" s="85"/>
      <c r="AJ38" s="85"/>
      <c r="AK38" s="85"/>
      <c r="AL38" s="85"/>
      <c r="AM38" s="85"/>
      <c r="AN38" s="85"/>
      <c r="AO38" s="85"/>
      <c r="AP38" s="85"/>
    </row>
    <row r="39" ht="120.0" customHeight="1">
      <c r="A39" s="29"/>
      <c r="B39" s="38" t="s">
        <v>118</v>
      </c>
      <c r="C39" s="99" t="s">
        <v>224</v>
      </c>
      <c r="D39" s="40" t="s">
        <v>225</v>
      </c>
      <c r="E39" s="40" t="s">
        <v>168</v>
      </c>
      <c r="F39" s="40" t="s">
        <v>164</v>
      </c>
      <c r="G39" s="39" t="s">
        <v>213</v>
      </c>
      <c r="H39" s="41" t="s">
        <v>19</v>
      </c>
      <c r="I39" s="42" t="s">
        <v>226</v>
      </c>
      <c r="J39" s="42" t="str">
        <f>IFERROR(__xludf.DUMMYFUNCTION("GOOGLETRANSLATE(I39,""en"",""pl"")"),"Seria X zasilana przez zewnętrzną kamerę PTZ z siecią Wisenet 7 AI, 8 MP @30fps, obiektyw z zoomem optycznym 25x (5 ~ 125mm) (57,42º ~ 2,71º), zakres panoramowania 360° bez ograniczeń, prędkość panoramowania 700°/sek., pochylenie: -20° ~ 90°, potrójny kod"&amp;"ek H.265/H.264/MJPEG z WiseStream II, strumieniowanie wielokrotne, ekstremalny WDR (120dB), True Day &amp; Night (ICR), zdarzenia analityczne oparte na silniku AI, wykrywanie rozmycia / ruchu / mgły / wstrząsów, manipulacja, strefa wirtualna, sklasyfikowany o"&amp;"biekt (osoba/twarz/pojazd/tablica rejestracyjna), atrybuty (typ pojazdu), automatyczne śledzenie obiektu (osoba/pojazd), śledzenie blokady celu, cyfrowa stabilizacja obrazu z wbudowanym czujnikiem żyroskopowym, 2x Micro Gniazda SD/SDHC/SDXC do 1 TB, IP66,"&amp;" IK10, NEMA4X, NEMA-TS2, PoE+
* Wyjścia alarmowe, detekcja dźwięku, klasyfikacja dźwięku (z modułem NW I/O, który można kupić osobno)")</f>
        <v>Seria X zasilana przez zewnętrzną kamerę PTZ z siecią Wisenet 7 AI, 8 MP @30fps, obiektyw z zoomem optycznym 25x (5 ~ 125mm) (57,42º ~ 2,71º), zakres panoramowania 360° bez ograniczeń, prędkość panoramowania 700°/sek., pochylenie: -20° ~ 90°, potrójny kodek H.265/H.264/MJPEG z WiseStream II, strumieniowanie wielokrotne, ekstremalny WDR (120dB), True Day &amp; Night (ICR),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wbudowanym czujnikiem żyroskopowym, 2x Micro Gniazda SD/SDHC/SDXC do 1 TB, IP66, IK10, NEMA4X, NEMA-TS2, PoE+
* Wyjścia alarmowe, detekcja dźwięku, klasyfikacja dźwięku (z modułem NW I/O, który można kupić osobno)</v>
      </c>
      <c r="K39" s="100" t="s">
        <v>21</v>
      </c>
      <c r="L39" s="44">
        <v>4500.0</v>
      </c>
      <c r="M39" s="8"/>
      <c r="N39" s="45" t="s">
        <v>22</v>
      </c>
      <c r="O39" s="97"/>
      <c r="P39" s="36"/>
      <c r="Q39" s="35"/>
      <c r="R39" s="68"/>
      <c r="S39" s="68"/>
      <c r="T39" s="68"/>
      <c r="U39" s="35"/>
      <c r="V39" s="35"/>
      <c r="W39" s="35"/>
      <c r="X39" s="35"/>
      <c r="Y39" s="35"/>
      <c r="Z39" s="35"/>
      <c r="AA39" s="35"/>
      <c r="AB39" s="35"/>
      <c r="AC39" s="60"/>
      <c r="AD39" s="85"/>
      <c r="AE39" s="85"/>
      <c r="AF39" s="85"/>
      <c r="AG39" s="85"/>
      <c r="AH39" s="85"/>
      <c r="AI39" s="85"/>
      <c r="AJ39" s="85"/>
      <c r="AK39" s="85"/>
      <c r="AL39" s="85"/>
      <c r="AM39" s="85"/>
      <c r="AN39" s="85"/>
      <c r="AO39" s="85"/>
      <c r="AP39" s="85"/>
    </row>
    <row r="40" ht="46.5" customHeight="1">
      <c r="A40" s="29"/>
      <c r="B40" s="38" t="s">
        <v>118</v>
      </c>
      <c r="C40" s="39" t="s">
        <v>227</v>
      </c>
      <c r="D40" s="40" t="s">
        <v>202</v>
      </c>
      <c r="E40" s="40" t="s">
        <v>121</v>
      </c>
      <c r="F40" s="40" t="s">
        <v>164</v>
      </c>
      <c r="G40" s="39" t="s">
        <v>18</v>
      </c>
      <c r="H40" s="41" t="s">
        <v>19</v>
      </c>
      <c r="I40" s="42" t="s">
        <v>228</v>
      </c>
      <c r="J40" s="42" t="str">
        <f>IFERROR(__xludf.DUMMYFUNCTION("GOOGLETRANSLATE(I40,""en"",""pl"")"),"Seria P oparta na Wisenet 9, kamera sieciowa AI Box; maksymalna rozdzielczość 8MP 3840x2160 @ 30FPS; 0,03Lux@F1.5 (kolor); 5,9~13,3mm(2,25x); FoV H:109°~49°; obiektyw zmiennoogniskowy z napędem silnikowym, kodek H.265/H.264/MJPEG; port USB ułatwiający ins"&amp;"talację; wybieralne wejście mikrofonowe (wejście mikrofonowe/wejście liniowe/wbudowane), oparta na sztucznej inteligencji technologia WiseStream; WiseNR II (z wykorzystaniem silnika AI); dzień i noc (ICR); extremeWDR (120dB); DIS z wbudowanym czujnikiem ż"&amp;"yroskopowym; przekazywanie; dynamiczna maska ​​prywatności; analiza oparta na silniku AI: wykrywanie ruchu i obiektów, przekraczanie linii, obszar IVA, poślizg i upadek, klasyfikacja dźwięku; wykrywanie obiektów: osoba/twarz/pojazd/tablica rejestracyjna; "&amp;"Atrybuty obiektu: osoba (płeć, kolor ubrania na górze/na dole, torba), twarz (wiek, płeć, maska, okulary), pojazd (typ, kolor); BestShot; zdarzenia analityczne: rozmycie, ruch, manipulacja, mgła, wykrywanie dźwięku i wstrząsów; Business Intelligence opart"&amp;"y na sztucznej inteligencji: zliczanie osób/pojazdów/tłumu, zarządzanie kolejkami, mapa cieplna; temperatura pracy: -10°C~+55°C (14°F~+131°F); element bezpieczny ze standardem FIPS 140-3 poziom 3; wbudowane gniazdo na kartę MicroSD (1TBx2); zasilanie: PoE"&amp;"+/12VDC; ekranowane metalowe złącze RJ-45.")</f>
        <v>Seria P oparta na Wisenet 9, kamera sieciowa AI Box; maksymalna rozdzielczość 8MP 3840x2160 @ 30FPS; 0,03Lux@F1.5 (kolor); 5,9~13,3mm(2,25x); FoV H:109°~49°; obiektyw zmiennoogniskowy z napędem silnikowym, kodek H.265/H.264/MJPEG; port USB ułatwiający instalację; wybieralne wejście mikrofonowe (wejście mikrofonowe/wejście liniowe/wbudowane), oparta na sztucznej inteligencji technologia WiseStream; WiseNR II (z wykorzystaniem silnika AI); dzień i noc (ICR); extremeWDR (120dB); DIS z wbudowanym czujnikiem żyroskopowym; przekazywanie; dynamiczna maska ​​prywatności; analiza oparta na silniku AI: wykrywanie ruchu i obiektów, przekraczanie linii, obszar IVA, poślizg i upadek, klasyfikacja dźwięku; wykrywanie obiektów: osoba/twarz/pojazd/tablica rejestracyjna; Atrybuty obiektu: osoba (płeć, kolor ubrania na górze/na dole, torba), twarz (wiek, płeć, maska, okulary), pojazd (typ, kolor); BestShot; zdarzenia analityczne: rozmycie, ruch, manipulacja, mgła, wykrywanie dźwięku i wstrząsów; Business Intelligence oparty na sztucznej inteligencji: zliczanie osób/pojazdów/tłumu, zarządzanie kolejkami, mapa cieplna; temperatura pracy: -10°C~+55°C (14°F~+131°F); element bezpieczny ze standardem FIPS 140-3 poziom 3; wbudowane gniazdo na kartę MicroSD (1TBx2); zasilanie: PoE+/12VDC; ekranowane metalowe złącze RJ-45.</v>
      </c>
      <c r="K40" s="43" t="s">
        <v>21</v>
      </c>
      <c r="L40" s="44">
        <v>1850.0</v>
      </c>
      <c r="M40" s="8"/>
      <c r="N40" s="45" t="s">
        <v>22</v>
      </c>
      <c r="O40" s="97"/>
      <c r="P40" s="35"/>
      <c r="Q40" s="35"/>
      <c r="R40" s="68"/>
      <c r="S40" s="68"/>
      <c r="T40" s="68"/>
      <c r="U40" s="35"/>
      <c r="V40" s="35"/>
      <c r="W40" s="35"/>
      <c r="X40" s="35"/>
      <c r="Y40" s="35"/>
      <c r="Z40" s="35"/>
      <c r="AA40" s="35"/>
      <c r="AB40" s="35"/>
      <c r="AC40" s="101"/>
      <c r="AD40" s="98"/>
      <c r="AE40" s="98"/>
      <c r="AF40" s="98"/>
      <c r="AG40" s="98"/>
      <c r="AH40" s="98"/>
      <c r="AI40" s="98"/>
      <c r="AJ40" s="98"/>
      <c r="AK40" s="98"/>
      <c r="AL40" s="98"/>
      <c r="AM40" s="98"/>
      <c r="AN40" s="98"/>
      <c r="AO40" s="98"/>
      <c r="AP40" s="98"/>
    </row>
    <row r="41" ht="46.5" customHeight="1">
      <c r="A41" s="29"/>
      <c r="B41" s="38" t="s">
        <v>118</v>
      </c>
      <c r="C41" s="39" t="s">
        <v>229</v>
      </c>
      <c r="D41" s="40" t="s">
        <v>202</v>
      </c>
      <c r="E41" s="40" t="s">
        <v>121</v>
      </c>
      <c r="F41" s="40" t="s">
        <v>164</v>
      </c>
      <c r="G41" s="39" t="s">
        <v>18</v>
      </c>
      <c r="H41" s="41" t="s">
        <v>19</v>
      </c>
      <c r="I41" s="42" t="s">
        <v>230</v>
      </c>
      <c r="J41" s="42" t="str">
        <f>IFERROR(__xludf.DUMMYFUNCTION("GOOGLETRANSLATE(I41,""en"",""pl"")"),"Seria P oparta na technologii Wisenet 9, kamera sieciowa typu box AI; maksymalna rozdzielczość 8MP 3840x2160 @ 30FPS; 0,03Lux@F1.67 (kolor); 15~50mm(3.33x); pole widzenia H:42,7°~12,6°; obiektyw zmiennoogniskowy z napędem silnikowym, kodek H.265/H.264/MJP"&amp;"EG; port USB ułatwiający instalację; wybieralne wejście mikrofonowe (wejście mikrofonowe/wejście liniowe/wbudowane), technologia WiseStream oparta na sztucznej inteligencji; WiseNR II (z wykorzystaniem silnika AI); tryb dzień i noc (ICR); extremeWDR (120d"&amp;"B); DIS z wbudowanym czujnikiem żyroskopowym; przekazywanie; dynamiczna maska ​​prywatności; analiza oparta na silniku AI: wykrywanie ruchu i obiektów, przekraczanie linii, obszar IVA, poślizg i upadek, klasyfikacja dźwięku; wykrywanie obiektów: osoba/twa"&amp;"rz/pojazd/tablica rejestracyjna; Atrybuty obiektu: osoba (płeć, kolor ubrania na górze/na dole, torba), twarz (wiek, płeć, maska, okulary), pojazd (typ, kolor); BestShot; zdarzenia analityczne: rozmycie, ruch, manipulacja, mgła, wykrywanie dźwięku i wstrz"&amp;"ąsów; Business Intelligence oparty na sztucznej inteligencji: zliczanie osób/pojazdów/tłumu, zarządzanie kolejkami, mapa cieplna; temperatura pracy: -10°C~+55°C (14°F~+131°F); element bezpieczny ze standardem FIPS 140-3 poziom 3; wbudowane gniazdo na kart"&amp;"ę MicroSD (1TBx2); zasilanie: PoE+/12VDC; ekranowane metalowe złącze RJ-45.")</f>
        <v>Seria P oparta na technologii Wisenet 9, kamera sieciowa typu box AI; maksymalna rozdzielczość 8MP 3840x2160 @ 30FPS; 0,03Lux@F1.67 (kolor); 15~50mm(3.33x); pole widzenia H:42,7°~12,6°; obiektyw zmiennoogniskowy z napędem silnikowym, kodek H.265/H.264/MJPEG; port USB ułatwiający instalację; wybieralne wejście mikrofonowe (wejście mikrofonowe/wejście liniowe/wbudowane), technologia WiseStream oparta na sztucznej inteligencji; WiseNR II (z wykorzystaniem silnika AI); tryb dzień i noc (ICR); extremeWDR (120dB); DIS z wbudowanym czujnikiem żyroskopowym; przekazywanie; dynamiczna maska ​​prywatności; analiza oparta na silniku AI: wykrywanie ruchu i obiektów, przekraczanie linii, obszar IVA, poślizg i upadek, klasyfikacja dźwięku; wykrywanie obiektów: osoba/twarz/pojazd/tablica rejestracyjna; Atrybuty obiektu: osoba (płeć, kolor ubrania na górze/na dole, torba), twarz (wiek, płeć, maska, okulary), pojazd (typ, kolor); BestShot; zdarzenia analityczne: rozmycie, ruch, manipulacja, mgła, wykrywanie dźwięku i wstrząsów; Business Intelligence oparty na sztucznej inteligencji: zliczanie osób/pojazdów/tłumu, zarządzanie kolejkami, mapa cieplna; temperatura pracy: -10°C~+55°C (14°F~+131°F); element bezpieczny ze standardem FIPS 140-3 poziom 3; wbudowane gniazdo na kartę MicroSD (1TBx2); zasilanie: PoE+/12VDC; ekranowane metalowe złącze RJ-45.</v>
      </c>
      <c r="K41" s="43" t="s">
        <v>21</v>
      </c>
      <c r="L41" s="44">
        <v>1850.0</v>
      </c>
      <c r="M41" s="8"/>
      <c r="N41" s="45" t="s">
        <v>22</v>
      </c>
      <c r="O41" s="97"/>
      <c r="P41" s="35"/>
      <c r="Q41" s="35"/>
      <c r="R41" s="68"/>
      <c r="S41" s="68"/>
      <c r="T41" s="68"/>
      <c r="U41" s="35"/>
      <c r="V41" s="35"/>
      <c r="W41" s="35"/>
      <c r="X41" s="35"/>
      <c r="Y41" s="35"/>
      <c r="Z41" s="35"/>
      <c r="AA41" s="35"/>
      <c r="AB41" s="35"/>
      <c r="AC41" s="101"/>
      <c r="AD41" s="98"/>
      <c r="AE41" s="98"/>
      <c r="AF41" s="98"/>
      <c r="AG41" s="98"/>
      <c r="AH41" s="98"/>
      <c r="AI41" s="98"/>
      <c r="AJ41" s="98"/>
      <c r="AK41" s="98"/>
      <c r="AL41" s="98"/>
      <c r="AM41" s="98"/>
      <c r="AN41" s="98"/>
      <c r="AO41" s="98"/>
      <c r="AP41" s="98"/>
    </row>
    <row r="42" ht="46.5" customHeight="1">
      <c r="A42" s="29"/>
      <c r="B42" s="38" t="s">
        <v>118</v>
      </c>
      <c r="C42" s="39" t="s">
        <v>231</v>
      </c>
      <c r="D42" s="40" t="s">
        <v>180</v>
      </c>
      <c r="E42" s="40" t="s">
        <v>121</v>
      </c>
      <c r="F42" s="40" t="s">
        <v>164</v>
      </c>
      <c r="G42" s="39" t="s">
        <v>18</v>
      </c>
      <c r="H42" s="41" t="s">
        <v>19</v>
      </c>
      <c r="I42" s="42" t="s">
        <v>232</v>
      </c>
      <c r="J42" s="42" t="str">
        <f>IFERROR(__xludf.DUMMYFUNCTION("GOOGLETRANSLATE(I42,""en"",""pl"")"),"Seria P oparta na technologii Wisenet 9, kamera zewnętrzna typu bullet z technologią AI IR, wandaloodporna; maksymalna rozdzielczość 8 MP, 3840 x 2160 przy 30 kl./s; 0,03 luksa przy F1,5 (kolor), 0 luksów (włączona dioda LED podczerwieni czarno-biała); 5,"&amp;"9~13,3 mm (2,25x); pole widzenia H: 109°~49°; obiektyw zmiennoogniskowy z napędem silnikowym; okno z twardą powłoką; kodek H.265/H.264/MJPEG; widoczna długość podczerwieni 60 m (196,85 stopy); port USB ułatwiający instalację; technologia WiseStream oparta"&amp;" na sztucznej inteligencji; WiseNR II (z wykorzystaniem silnika AI); tryb dzień i noc (ICR); extremeWDR (120 dB); DIS z wbudowanym czujnikiem żyroskopowym; przekazywanie; dynamiczna maska ​​prywatności; Analityka oparta na silniku AI: wykrywanie ruchu i o"&amp;"biektów, przekroczenie linii, obszar IVA, poślizg i upadek, klasyfikacja dźwięku; wykrywanie obiektów: osoba/twarz/pojazd/tablica rejestracyjna; atrybuty obiektów: osoba (płeć, kolor ubrania na górze/na dole, torba), twarz (wiek, płeć, maska, okulary), po"&amp;"jazd (typ, kolor); BestShot; zdarzenia analityczne: rozmycie, ruch, manipulacja, mgła, wykrywanie dźwięku i wstrząsów; Business Intelligence oparty na AI: zliczanie osób/pojazdów/tłumów, zarządzanie kolejkami, mapa cieplna; IP66/IP67, IK10, NEMA 4X, NEMA-"&amp;"TS 2 (2.2.7.2-8, 2.2.8, 2.2.9); temperatura pracy: -50°C~+55°C (-58°F~+131°F); element bezpieczny z FIPS 140-3 poziom 3; Wbudowane gniazdo na kartę MicroSD (1TBx2); Zasilanie: PoE+/12VDC; Metalowe ekranowane złącze RJ-45.")</f>
        <v>Seria P oparta na technologii Wisenet 9, kamera zewnętrzna typu bullet z technologią AI IR, wandaloodporna; maksymalna rozdzielczość 8 MP, 3840 x 2160 przy 30 kl./s; 0,03 luksa przy F1,5 (kolor), 0 luksów (włączona dioda LED podczerwieni czarno-biała); 5,9~13,3 mm (2,25x); pole widzenia H: 109°~49°; obiektyw zmiennoogniskowy z napędem silnikowym; okno z twardą powłoką; kodek H.265/H.264/MJPEG; widoczna długość podczerwieni 60 m (196,85 stopy); port USB ułatwiający instalację; technologia WiseStream oparta na sztucznej inteligencji;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osób/pojazdów/tłumów, zarządzanie kolejkami, mapa cieplna; IP66/IP67, IK10, NEMA 4X, NEMA-TS 2 (2.2.7.2-8, 2.2.8, 2.2.9); temperatura pracy: -50°C~+55°C (-58°F~+131°F); element bezpieczny z FIPS 140-3 poziom 3; Wbudowane gniazdo na kartę MicroSD (1TBx2); Zasilanie: PoE+/12VDC; Metalowe ekranowane złącze RJ-45.</v>
      </c>
      <c r="K42" s="43" t="s">
        <v>21</v>
      </c>
      <c r="L42" s="44">
        <v>2100.0</v>
      </c>
      <c r="M42" s="8"/>
      <c r="N42" s="45" t="s">
        <v>22</v>
      </c>
      <c r="O42" s="97"/>
      <c r="P42" s="35"/>
      <c r="Q42" s="35"/>
      <c r="R42" s="68"/>
      <c r="S42" s="68"/>
      <c r="T42" s="68"/>
      <c r="U42" s="35"/>
      <c r="V42" s="35"/>
      <c r="W42" s="35"/>
      <c r="X42" s="35"/>
      <c r="Y42" s="35"/>
      <c r="Z42" s="35"/>
      <c r="AA42" s="35"/>
      <c r="AB42" s="35"/>
      <c r="AC42" s="101"/>
      <c r="AD42" s="98"/>
      <c r="AE42" s="98"/>
      <c r="AF42" s="98"/>
      <c r="AG42" s="98"/>
      <c r="AH42" s="98"/>
      <c r="AI42" s="98"/>
      <c r="AJ42" s="98"/>
      <c r="AK42" s="98"/>
      <c r="AL42" s="98"/>
      <c r="AM42" s="98"/>
      <c r="AN42" s="98"/>
      <c r="AO42" s="98"/>
      <c r="AP42" s="98"/>
    </row>
    <row r="43" ht="46.5" customHeight="1">
      <c r="A43" s="29"/>
      <c r="B43" s="38" t="s">
        <v>118</v>
      </c>
      <c r="C43" s="39" t="s">
        <v>233</v>
      </c>
      <c r="D43" s="40" t="s">
        <v>180</v>
      </c>
      <c r="E43" s="40" t="s">
        <v>121</v>
      </c>
      <c r="F43" s="40" t="s">
        <v>164</v>
      </c>
      <c r="G43" s="39" t="s">
        <v>18</v>
      </c>
      <c r="H43" s="41" t="s">
        <v>19</v>
      </c>
      <c r="I43" s="42" t="s">
        <v>234</v>
      </c>
      <c r="J43" s="42" t="str">
        <f>IFERROR(__xludf.DUMMYFUNCTION("GOOGLETRANSLATE(I43,""en"",""pl"")"),"Seria P oparta na technologii Wisenet 9, kamera zewnętrzna typu bullet z technologią AI IR, wandaloodporna; maksymalna rozdzielczość 8 MP, 3840 x 2160 przy 30 kl./s; 0,03 luksa przy F1,67 (kolor), 0 luksów (włączona dioda LED podczerwieni czarno-biała); 1"&amp;"5~50 mm (3,33x); pole widzenia H: 42,7°~12,6°; obiektyw zmiennoogniskowy z napędem silnikowym; okno z twardą powłoką; kodek H.265/H.264/MJPEG; widoczna długość podczerwieni 120 m (393,7 stopy); port USB ułatwiający instalację; technologia WiseStream opart"&amp;"a na sztucznej inteligencji; WiseNR II (z wykorzystaniem silnika AI); tryb dzień i noc (ICR); extremeWDR (120 dB); DIS z wbudowanym czujnikiem żyroskopowym; przekazywanie; dynamiczna maska ​​prywatności; Analityka oparta na silniku AI: wykrywanie ruchu i "&amp;"obiektów, przekroczenie linii, obszar IVA, poślizg i upadek, klasyfikacja dźwięku; wykrywanie obiektów: osoba/twarz/pojazd/tablica rejestracyjna; atrybuty obiektów: osoba (płeć, kolor ubrania na górze/na dole, torba), twarz (wiek, płeć, maska, okulary), p"&amp;"ojazd (typ, kolor); BestShot; zdarzenia analityczne: rozmycie, ruch, manipulacja, mgła, wykrywanie dźwięku i wstrząsów; Business Intelligence oparty na AI: zliczanie osób/pojazdów/tłumów, zarządzanie kolejkami, mapa cieplna; IP66/IP67, IK10, NEMA 4X, NEMA"&amp;"-TS 2 (2.2.7.2-8, 2.2.8, 2.2.9); temperatura pracy: -50°C~+55°C (-58°F~+131°F); element bezpieczny z FIPS 140-3 poziom 3; Wbudowane gniazdo na kartę MicroSD (1TBx2); Zasilanie: PoE+/12VDC; Metalowe ekranowane złącze RJ-45.")</f>
        <v>Seria P oparta na technologii Wisenet 9, kamera zewnętrzna typu bullet z technologią AI IR, wandaloodporna; maksymalna rozdzielczość 8 MP, 3840 x 2160 przy 30 kl./s; 0,03 luksa przy F1,67 (kolor), 0 luksów (włączona dioda LED podczerwieni czarno-biała); 15~50 mm (3,33x); pole widzenia H: 42,7°~12,6°; obiektyw zmiennoogniskowy z napędem silnikowym; okno z twardą powłoką; kodek H.265/H.264/MJPEG; widoczna długość podczerwieni 120 m (393,7 stopy); port USB ułatwiający instalację; technologia WiseStream oparta na sztucznej inteligencji;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osób/pojazdów/tłumów, zarządzanie kolejkami, mapa cieplna; IP66/IP67, IK10, NEMA 4X, NEMA-TS 2 (2.2.7.2-8, 2.2.8, 2.2.9); temperatura pracy: -50°C~+55°C (-58°F~+131°F); element bezpieczny z FIPS 140-3 poziom 3; Wbudowane gniazdo na kartę MicroSD (1TBx2); Zasilanie: PoE+/12VDC; Metalowe ekranowane złącze RJ-45.</v>
      </c>
      <c r="K43" s="43" t="s">
        <v>21</v>
      </c>
      <c r="L43" s="44">
        <v>2100.0</v>
      </c>
      <c r="M43" s="8"/>
      <c r="N43" s="45" t="s">
        <v>22</v>
      </c>
      <c r="O43" s="97"/>
      <c r="P43" s="35"/>
      <c r="Q43" s="35"/>
      <c r="R43" s="68"/>
      <c r="S43" s="68"/>
      <c r="T43" s="68"/>
      <c r="U43" s="35"/>
      <c r="V43" s="35"/>
      <c r="W43" s="35"/>
      <c r="X43" s="35"/>
      <c r="Y43" s="35"/>
      <c r="Z43" s="35"/>
      <c r="AA43" s="35"/>
      <c r="AB43" s="35"/>
      <c r="AC43" s="101"/>
      <c r="AD43" s="98"/>
      <c r="AE43" s="98"/>
      <c r="AF43" s="98"/>
      <c r="AG43" s="98"/>
      <c r="AH43" s="98"/>
      <c r="AI43" s="98"/>
      <c r="AJ43" s="98"/>
      <c r="AK43" s="98"/>
      <c r="AL43" s="98"/>
      <c r="AM43" s="98"/>
      <c r="AN43" s="98"/>
      <c r="AO43" s="98"/>
      <c r="AP43" s="98"/>
    </row>
    <row r="44" ht="46.5" customHeight="1">
      <c r="A44" s="29"/>
      <c r="B44" s="38" t="s">
        <v>118</v>
      </c>
      <c r="C44" s="39" t="s">
        <v>235</v>
      </c>
      <c r="D44" s="40" t="s">
        <v>183</v>
      </c>
      <c r="E44" s="40" t="s">
        <v>121</v>
      </c>
      <c r="F44" s="40" t="s">
        <v>164</v>
      </c>
      <c r="G44" s="39" t="s">
        <v>18</v>
      </c>
      <c r="H44" s="41" t="s">
        <v>19</v>
      </c>
      <c r="I44" s="42" t="s">
        <v>236</v>
      </c>
      <c r="J44" s="42" t="str">
        <f>IFERROR(__xludf.DUMMYFUNCTION("GOOGLETRANSLATE(I44,""en"",""pl"")"),"Seria P oparta na technologii Wisenet 9, kamera kopułkowa zewnętrzna z technologią AI IR, chroniąca przed wandalizmem; maksymalna rozdzielczość 8 MP, 3840 x 2160 przy 30 kl./s; 0,03 luksa przy F1,5 (kolor), 0 luksów (włączona dioda LED podczerwieni czarno"&amp;"-biała); 5,9~13,3 mm (2,25x); pole widzenia H: 109°~49°; obiektyw zmiennoogniskowy z napędem silnikowym, zdalna regulacja obiektywu (PTRZ); kopułka z twardą powłoką; kodek H.265/H.264/MJPEG; widoczna długość podczerwieni 50 m (164,04 stopy); port USB ułat"&amp;"wiający instalację; technologia WiseStream oparta na sztucznej inteligencji; WiseNR II (z wykorzystaniem silnika AI); tryb dzień i noc (ICR); extremeWDR (120 dB); DIS z wbudowanym czujnikiem żyroskopowym; przekazywanie; dynamiczna maska ​​prywatności; Ana"&amp;"lityka oparta na silniku AI: wykrywanie ruchu i obiektów, przekroczenie linii, obszar IVA, poślizg i upadek, klasyfikacja dźwięku; wykrywanie obiektów: osoba/twarz/pojazd/tablica rejestracyjna; atrybuty obiektów: osoba (płeć, kolor ubrania na górze/na dol"&amp;"e, torba), twarz (wiek, płeć, maska, okulary), pojazd (typ, kolor); BestShot; zdarzenia analityczne: rozmycie, ruch, manipulacja, mgła, wykrywanie dźwięku i wstrząsów; Business Intelligence oparty na AI: zliczanie osób/pojazdów/tłumów, zarządzanie kolejka"&amp;"mi, mapa cieplna; IP66/IP67, IK10, NEMA 4X, NEMA-TS 2 (2.2.7.2-8, 2.2.8, 2.2.9); temperatura pracy: -50°C~+55°C (-58°F~+131°F); element bezpieczny z FIPS 140-3 poziom 3; Wbudowane gniazdo na kartę MicroSD (1TBx2); Zasilanie: PoE+; Metalowe ekranowane złąc"&amp;"ze RJ-45.")</f>
        <v>Seria P oparta na technologii Wisenet 9, kamera kopułkowa zewnętrzna z technologią AI IR, chroniąca przed wandalizmem; maksymalna rozdzielczość 8 MP, 3840 x 2160 przy 30 kl./s; 0,03 luksa przy F1,5 (kolor), 0 luksów (włączona dioda LED podczerwieni czarno-biała); 5,9~13,3 mm (2,25x); pole widzenia H: 109°~49°; obiektyw zmiennoogniskowy z napędem silnikowym, zdalna regulacja obiektywu (PTRZ); kopułka z twardą powłoką; kodek H.265/H.264/MJPEG; widoczna długość podczerwieni 50 m (164,04 stopy); port USB ułatwiający instalację; technologia WiseStream oparta na sztucznej inteligencji;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osób/pojazdów/tłumów, zarządzanie kolejkami, mapa cieplna; IP66/IP67, IK10, NEMA 4X, NEMA-TS 2 (2.2.7.2-8, 2.2.8, 2.2.9); temperatura pracy: -50°C~+55°C (-58°F~+131°F); element bezpieczny z FIPS 140-3 poziom 3; Wbudowane gniazdo na kartę MicroSD (1TBx2); Zasilanie: PoE+; Metalowe ekranowane złącze RJ-45.</v>
      </c>
      <c r="K44" s="43" t="s">
        <v>21</v>
      </c>
      <c r="L44" s="44">
        <v>2200.0</v>
      </c>
      <c r="M44" s="8"/>
      <c r="N44" s="45" t="s">
        <v>22</v>
      </c>
      <c r="O44" s="97"/>
      <c r="P44" s="35"/>
      <c r="Q44" s="35"/>
      <c r="R44" s="68"/>
      <c r="S44" s="68"/>
      <c r="T44" s="68"/>
      <c r="U44" s="35"/>
      <c r="V44" s="35"/>
      <c r="W44" s="35"/>
      <c r="X44" s="35"/>
      <c r="Y44" s="35"/>
      <c r="Z44" s="35"/>
      <c r="AA44" s="35"/>
      <c r="AB44" s="35"/>
      <c r="AC44" s="101"/>
      <c r="AD44" s="98"/>
      <c r="AE44" s="98"/>
      <c r="AF44" s="98"/>
      <c r="AG44" s="98"/>
      <c r="AH44" s="98"/>
      <c r="AI44" s="98"/>
      <c r="AJ44" s="98"/>
      <c r="AK44" s="98"/>
      <c r="AL44" s="98"/>
      <c r="AM44" s="98"/>
      <c r="AN44" s="98"/>
      <c r="AO44" s="98"/>
      <c r="AP44" s="98"/>
    </row>
    <row r="45" ht="46.5" customHeight="1">
      <c r="A45" s="29"/>
      <c r="B45" s="38" t="s">
        <v>118</v>
      </c>
      <c r="C45" s="39" t="s">
        <v>237</v>
      </c>
      <c r="D45" s="40" t="s">
        <v>238</v>
      </c>
      <c r="E45" s="40" t="s">
        <v>121</v>
      </c>
      <c r="F45" s="40" t="s">
        <v>164</v>
      </c>
      <c r="G45" s="39" t="s">
        <v>18</v>
      </c>
      <c r="H45" s="41" t="s">
        <v>19</v>
      </c>
      <c r="I45" s="42" t="s">
        <v>239</v>
      </c>
      <c r="J45" s="42" t="str">
        <f>IFERROR(__xludf.DUMMYFUNCTION("GOOGLETRANSLATE(I45,""en"",""pl"")"),"Seria P oparta na technologii Wisenet 9, kamera kopułkowa wewnętrzna AI IR; maksymalna rozdzielczość 8MP 3840x2160 @ 30FPS; 0,03 luksa przy F1,5 (kolor), 0 luksów (włączona dioda LED podczerwieni czarno-biała); 5,9~13,3 mm (2,25x); pole widzenia H:109°~49"&amp;"°; obiektyw zmiennoogniskowy z napędem silnikowym, kopułka z twardą powłoką; kodek H.265/H.264/MJPEG; widoczna długość podczerwieni 60 m (196,85 stopy); port USB ułatwiający instalację; wybieralne wejście mikrofonowe (wejście mikrofonowe/wejście liniowe/w"&amp;"budowane 3 mikrofony), oparta na sztucznej inteligencji technologia WiseStream; WiseNR II (z wykorzystaniem silnika AI); tryb dzień i noc (ICR); extremeWDR (120 dB); DIS z wbudowanym czujnikiem żyroskopowym; przekazywanie; dynamiczna maska ​​prywatności; "&amp;"Analityka oparta na silniku AI: wykrywanie ruchu i obiektów, przekroczenie linii, obszar IVA, poślizg i upadek, klasyfikacja dźwięku; wykrywanie obiektów: osoba/twarz/pojazd/tablica rejestracyjna; atrybuty obiektów: osoba (płeć, kolor ubrania na górze/na "&amp;"dole, torba), twarz (wiek, płeć, maska, okulary), pojazd (typ, kolor); BestShot; zdarzenia analityczne: rozmycie, ruch, manipulacja, mgła, wykrywanie dźwięku i wstrząsów; Business Intelligence oparty na AI: zliczanie osób/pojazdów/tłumu, zarządzanie kolej"&amp;"kami, mapa cieplna; IP52, IK10; temperatura pracy: -25°C~+50°C (-13°F~+122°F); element bezpieczny z FIPS 140-3 poziom 3; wbudowane gniazdo na kartę MicroSD (1 TB x 2); zasilanie: PoE+/12 V DC; ekranowane metalowe złącze RJ-45.")</f>
        <v>Seria P oparta na technologii Wisenet 9, kamera kopułkowa wewnętrzna AI IR; maksymalna rozdzielczość 8MP 3840x2160 @ 30FPS; 0,03 luksa przy F1,5 (kolor), 0 luksów (włączona dioda LED podczerwieni czarno-biała); 5,9~13,3 mm (2,25x); pole widzenia H:109°~49°; obiektyw zmiennoogniskowy z napędem silnikowym, kopułka z twardą powłoką; kodek H.265/H.264/MJPEG; widoczna długość podczerwieni 60 m (196,85 stopy); port USB ułatwiający instalację; wybieralne wejście mikrofonowe (wejście mikrofonowe/wejście liniowe/wbudowane 3 mikrofony), oparta na sztucznej inteligencji technologia WiseStream;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osób/pojazdów/tłumu, zarządzanie kolejkami, mapa cieplna; IP52, IK10; temperatura pracy: -25°C~+50°C (-13°F~+122°F); element bezpieczny z FIPS 140-3 poziom 3; wbudowane gniazdo na kartę MicroSD (1 TB x 2); zasilanie: PoE+/12 V DC; ekranowane metalowe złącze RJ-45.</v>
      </c>
      <c r="K45" s="43" t="s">
        <v>21</v>
      </c>
      <c r="L45" s="44">
        <v>2000.0</v>
      </c>
      <c r="M45" s="8"/>
      <c r="N45" s="45" t="s">
        <v>22</v>
      </c>
      <c r="O45" s="97"/>
      <c r="P45" s="35"/>
      <c r="Q45" s="35"/>
      <c r="R45" s="68"/>
      <c r="S45" s="68"/>
      <c r="T45" s="68"/>
      <c r="U45" s="35"/>
      <c r="V45" s="35"/>
      <c r="W45" s="35"/>
      <c r="X45" s="35"/>
      <c r="Y45" s="35"/>
      <c r="Z45" s="35"/>
      <c r="AA45" s="35"/>
      <c r="AB45" s="35"/>
      <c r="AC45" s="101"/>
      <c r="AD45" s="98"/>
      <c r="AE45" s="98"/>
      <c r="AF45" s="98"/>
      <c r="AG45" s="98"/>
      <c r="AH45" s="98"/>
      <c r="AI45" s="98"/>
      <c r="AJ45" s="98"/>
      <c r="AK45" s="98"/>
      <c r="AL45" s="98"/>
      <c r="AM45" s="98"/>
      <c r="AN45" s="98"/>
      <c r="AO45" s="98"/>
      <c r="AP45" s="98"/>
    </row>
    <row r="46" ht="126.0" customHeight="1">
      <c r="A46" s="29"/>
      <c r="B46" s="38" t="s">
        <v>118</v>
      </c>
      <c r="C46" s="39" t="s">
        <v>240</v>
      </c>
      <c r="D46" s="40" t="s">
        <v>241</v>
      </c>
      <c r="E46" s="40" t="s">
        <v>121</v>
      </c>
      <c r="F46" s="40" t="s">
        <v>164</v>
      </c>
      <c r="G46" s="39" t="s">
        <v>18</v>
      </c>
      <c r="H46" s="41" t="s">
        <v>19</v>
      </c>
      <c r="I46" s="42" t="s">
        <v>242</v>
      </c>
      <c r="J46" s="42" t="str">
        <f>IFERROR(__xludf.DUMMYFUNCTION("GOOGLETRANSLATE(I46,""en"",""pl"")"),"Kamera sieciowa AI IR serii P z 31-krotnym zoomem typu bullet, maks. rozdzielczość 8M przy 30 kl./s, 0,075 luksa przy F1,36 (kolor), 0 luksów (czarno-biały, włączona dioda IR), tryb dzień i noc (ICR), obiektyw z zoomem 6,91~214,7 mm (31x), WiseIR 70 m (22"&amp;"9,66 stopy), WDR (120 dB) H.265, H.264, kodek MJPEG, WiseStreamⅡ, WiseStreamⅢ (z wykorzystaniem silnika AI), analiza wideo oparta na AI [wykrywanie i klasyfikacja obiektów (osoba, twarz, pojazd, tablica rejestracyjna), wykrywanie maseczek, wykrywanie dyst"&amp;"ansu społecznego, wykrywanie poślizgów i upadków, atrybut, BestShot], liczenie osób, mapa cieplna, zarządzanie kolejkami oparte na AI, wykrywanie maseczek, wykrywanie dystansu społecznego, zgodność z Wisenet Retail Insight v2.0 dla firm Inteligencja, licz"&amp;"enie osób na podstawie wieku/płci, mapa cieplna, zarządzanie kolejkami, modułowa konstrukcja ułatwiająca instalację, 2 x karta micro SD (512 GB x 2), temperatura pracy: -40°C~+55°C(-40°F ~ +131°F), zasilanie: PoE+/12 V DC, ekranowane metalem złącze RJ-45,"&amp;" IP66/IP67/IP6K9K, IK10, NEMA4X")</f>
        <v>Kamera sieciowa AI IR serii P z 31-krotnym zoomem typu bullet, maks. rozdzielczość 8M przy 30 kl./s, 0,075 luksa przy F1,36 (kolor), 0 luksów (czarno-biały, włączona dioda IR), tryb dzień i noc (ICR), obiektyw z zoomem 6,91~214,7 mm (31x), WiseIR 70 m (229,66 stopy), WDR (120 dB) H.265, H.264, kodek MJPEG, WiseStreamⅡ, WiseStreamⅢ (z wykorzystaniem silnika AI), analiza wideo oparta na AI [wykrywanie i klasyfikacja obiektów (osoba, twarz, pojazd, tablica rejestracyjna), wykrywanie maseczek, wykrywanie dystansu społecznego, wykrywanie poślizgów i upadków, atrybut, BestShot], liczenie osób, mapa cieplna, zarządzanie kolejkami oparte na AI, wykrywanie maseczek, wykrywanie dystansu społecznego, zgodność z Wisenet Retail Insight v2.0 dla firm Inteligencja, liczenie osób na podstawie wieku/płci, mapa cieplna, zarządzanie kolejkami, modułowa konstrukcja ułatwiająca instalację, 2 x karta micro SD (512 GB x 2), temperatura pracy: -40°C~+55°C(-40°F ~ +131°F), zasilanie: PoE+/12 V DC, ekranowane metalem złącze RJ-45, IP66/IP67/IP6K9K, IK10, NEMA4X</v>
      </c>
      <c r="K46" s="43" t="s">
        <v>21</v>
      </c>
      <c r="L46" s="44">
        <v>2550.0</v>
      </c>
      <c r="M46" s="8"/>
      <c r="N46" s="45" t="s">
        <v>22</v>
      </c>
      <c r="O46" s="97"/>
      <c r="P46" s="35"/>
      <c r="Q46" s="35"/>
      <c r="R46" s="68"/>
      <c r="S46" s="68"/>
      <c r="T46" s="68"/>
      <c r="U46" s="35"/>
      <c r="V46" s="35"/>
      <c r="W46" s="35"/>
      <c r="X46" s="35"/>
      <c r="Y46" s="35"/>
      <c r="Z46" s="35"/>
      <c r="AA46" s="35"/>
      <c r="AB46" s="35"/>
      <c r="AC46" s="101"/>
      <c r="AD46" s="98"/>
      <c r="AE46" s="98"/>
      <c r="AF46" s="98"/>
      <c r="AG46" s="98"/>
      <c r="AH46" s="98"/>
      <c r="AI46" s="98"/>
      <c r="AJ46" s="98"/>
      <c r="AK46" s="98"/>
      <c r="AL46" s="98"/>
      <c r="AM46" s="98"/>
      <c r="AN46" s="98"/>
      <c r="AO46" s="98"/>
      <c r="AP46" s="98"/>
    </row>
    <row r="47" ht="115.5" customHeight="1">
      <c r="A47" s="29"/>
      <c r="B47" s="38" t="s">
        <v>118</v>
      </c>
      <c r="C47" s="39" t="s">
        <v>243</v>
      </c>
      <c r="D47" s="40" t="s">
        <v>180</v>
      </c>
      <c r="E47" s="40" t="s">
        <v>121</v>
      </c>
      <c r="F47" s="40" t="s">
        <v>164</v>
      </c>
      <c r="G47" s="39" t="s">
        <v>18</v>
      </c>
      <c r="H47" s="41" t="s">
        <v>19</v>
      </c>
      <c r="I47" s="42" t="s">
        <v>244</v>
      </c>
      <c r="J47" s="42" t="str">
        <f>IFERROR(__xludf.DUMMYFUNCTION("GOOGLETRANSLATE(I47,""en"",""pl"")"),"Kamera zewnętrzna z serii P z kamerą typu bullet AI IR, 8 MP, 30 kl./s, obiektyw zmiennoogniskowy z napędem silnikowym 4,5–10 mm (2,2x), potrójny kodek H.265/H.264/MJPEG z WiseStream II, strumieniowanie wielokrotne, WDR 120 dB, True Day &amp; Night (ICR), wid"&amp;"oczna długość podczerwieni 30 m, sklasyfikowany typ obiektu: osoba/twarz/pojazd/tablica rejestracyjna z atrybutami, BestShot na obiekt, zdarzenia analityczne oparte na silniku AI: wykrywanie obiektów, wykrywanie kierunkowe, cyfrowe śledzenie automatyczne,"&amp;" wejście/wyjście, włóczęgostwo, wirtualna linia, zdarzenia analityczne: wykrywanie braku ostrości, wykrywanie ruchu, pojawianie się/znikanie, manipulacja, wykrywanie dźwięku, klasyfikacja dźwięku, wykrywanie wstrząsów, analityka biznesowa, widok korytarza"&amp;", dwukierunkowy dźwięk i podwójne gniazdo microSD/SDHC/SDXC, IP66/IP67, IK10+, NEMA4X, PoE+/12 V prądu stałego")</f>
        <v>Kamera zewnętrzna z serii P z kamerą typu bullet AI IR, 8 MP, 30 kl./s, obiektyw zmiennoogniskowy z napędem silnikowym 4,5–10 mm (2,2x), potrójny kodek H.265/H.264/MJPEG z WiseStream II, strumieniowanie wielokrotne, WDR 120 dB, True Day &amp; Night (ICR), widoczna długość podczerwieni 30 m, sklasyfikowany typ obiektu: osoba/twarz/pojazd/tablica rejestracyjna z atrybutami, BestShot na obiekt, zdarzenia analityczne oparte na silniku AI: wykrywanie obiektów, wykrywanie kierunkowe, cyfrowe śledzenie automatyczne, wejście/wyjście, włóczęgostwo, wirtualna linia, zdarzenia analityczne: wykrywanie braku ostrości, wykrywanie ruchu, pojawianie się/znikanie, manipulacja, wykrywanie dźwięku, klasyfikacja dźwięku, wykrywanie wstrząsów, analityka biznesowa, widok korytarza, dwukierunkowy dźwięk i podwójne gniazdo microSD/SDHC/SDXC, IP66/IP67, IK10+, NEMA4X, PoE+/12 V prądu stałego</v>
      </c>
      <c r="K47" s="43" t="s">
        <v>21</v>
      </c>
      <c r="L47" s="44">
        <v>2050.0</v>
      </c>
      <c r="M47" s="8"/>
      <c r="N47" s="45" t="s">
        <v>22</v>
      </c>
      <c r="O47" s="97"/>
      <c r="P47" s="36"/>
      <c r="Q47" s="35"/>
      <c r="R47" s="68"/>
      <c r="S47" s="68"/>
      <c r="T47" s="68"/>
      <c r="U47" s="35"/>
      <c r="V47" s="35"/>
      <c r="W47" s="35"/>
      <c r="X47" s="35"/>
      <c r="Y47" s="35"/>
      <c r="Z47" s="35"/>
      <c r="AA47" s="35"/>
      <c r="AB47" s="35"/>
      <c r="AC47" s="60"/>
      <c r="AD47" s="85"/>
      <c r="AE47" s="85"/>
      <c r="AF47" s="85"/>
      <c r="AG47" s="85"/>
      <c r="AH47" s="85"/>
      <c r="AI47" s="85"/>
      <c r="AJ47" s="85"/>
      <c r="AK47" s="85"/>
      <c r="AL47" s="85"/>
      <c r="AM47" s="85"/>
      <c r="AN47" s="85"/>
      <c r="AO47" s="85"/>
      <c r="AP47" s="85"/>
    </row>
    <row r="48" ht="120.0" customHeight="1">
      <c r="A48" s="29"/>
      <c r="B48" s="38" t="s">
        <v>118</v>
      </c>
      <c r="C48" s="39" t="s">
        <v>245</v>
      </c>
      <c r="D48" s="40" t="s">
        <v>183</v>
      </c>
      <c r="E48" s="40" t="s">
        <v>121</v>
      </c>
      <c r="F48" s="40" t="s">
        <v>164</v>
      </c>
      <c r="G48" s="39" t="s">
        <v>184</v>
      </c>
      <c r="H48" s="41" t="s">
        <v>19</v>
      </c>
      <c r="I48" s="42" t="s">
        <v>246</v>
      </c>
      <c r="J48" s="42" t="str">
        <f>IFERROR(__xludf.DUMMYFUNCTION("GOOGLETRANSLATE(I48,""en"",""pl"")"),"Kamera kopułkowa zewnętrzna z serii P o rozdzielczości 8 MP AI IR, zabezpieczona przed wandalizmem, modułowa konstrukcja X PLUS, 8 MP @30fps, obiektyw zmiennoogniskowy z napędem silnikowym 4,5~10 mm (2,2x), potrójny kodek H.265/H.264/MJPEG z WiseStream II"&amp;", strumieniowanie wielokrotne, WDR 120 dB, automatyczny tryb dzień/noc (ICR), widoczna długość podczerwieni 30 m, sklasyfikowany typ obiektu: osoba/twarz/pojazd/tablica rejestracyjna z atrybutami, BestShot na obiekt, zdarzenia analityczne oparte na silnik"&amp;"u AI: wykrywanie obiektów, wykrywanie kierunkowe, cyfrowe śledzenie automatyczne, wejście/wyjście, włóczęgostwo, wirtualna linia, zdarzenia analityczne: wykrywanie braku ostrości, wykrywanie ruchu, pojawianie się/znikanie, manipulacja, wykrywanie dźwięku,"&amp;" klasyfikacja dźwięku, wykrywanie wstrząsów, analityka biznesowa, widok korytarza, dwukierunkowy dźwięk i podwójne gniazdo microSD/SDHC/SDXC, IP66/IP67/ IP6K9K, IK10+, NEMA4X, PoE+/12 V DC")</f>
        <v>Kamera kopułkowa zewnętrzna z serii P o rozdzielczości 8 MP AI IR, zabezpieczona przed wandalizmem, modułowa konstrukcja X PLUS, 8 MP @30fps, obiektyw zmiennoogniskowy z napędem silnikowym 4,5~10 mm (2,2x), potrójny kodek H.265/H.264/MJPEG z WiseStream II, strumieniowanie wielokrotne, WDR 120 dB, automatyczny tryb dzień/noc (ICR), widoczna długość podczerwieni 30 m, sklasyfikowany typ obiektu: osoba/twarz/pojazd/tablica rejestracyjna z atrybutami, BestShot na obiekt, zdarzenia analityczne oparte na silniku AI: wykrywanie obiektów, wykrywanie kierunkowe, cyfrowe śledzenie automatyczne, wejście/wyjście, włóczęgostwo, wirtualna linia, zdarzenia analityczne: wykrywanie braku ostrości, wykrywanie ruchu, pojawianie się/znikanie, manipulacja, wykrywanie dźwięku, klasyfikacja dźwięku, wykrywanie wstrząsów, analityka biznesowa, widok korytarza, dwukierunkowy dźwięk i podwójne gniazdo microSD/SDHC/SDXC, IP66/IP67/ IP6K9K, IK10+, NEMA4X, PoE+/12 V DC</v>
      </c>
      <c r="K48" s="43" t="s">
        <v>21</v>
      </c>
      <c r="L48" s="44">
        <v>2150.0</v>
      </c>
      <c r="M48" s="8"/>
      <c r="N48" s="45" t="s">
        <v>22</v>
      </c>
      <c r="O48" s="97"/>
      <c r="P48" s="36"/>
      <c r="Q48" s="35"/>
      <c r="R48" s="68"/>
      <c r="S48" s="68"/>
      <c r="T48" s="68"/>
      <c r="U48" s="35"/>
      <c r="V48" s="35"/>
      <c r="W48" s="35"/>
      <c r="X48" s="35"/>
      <c r="Y48" s="35"/>
      <c r="Z48" s="35"/>
      <c r="AA48" s="35"/>
      <c r="AB48" s="35"/>
      <c r="AC48" s="60"/>
      <c r="AD48" s="85"/>
      <c r="AE48" s="85"/>
      <c r="AF48" s="85"/>
      <c r="AG48" s="85"/>
      <c r="AH48" s="85"/>
      <c r="AI48" s="85"/>
      <c r="AJ48" s="85"/>
      <c r="AK48" s="85"/>
      <c r="AL48" s="85"/>
      <c r="AM48" s="85"/>
      <c r="AN48" s="85"/>
      <c r="AO48" s="85"/>
      <c r="AP48" s="85"/>
    </row>
    <row r="49" ht="120.0" customHeight="1">
      <c r="A49" s="29"/>
      <c r="B49" s="38" t="s">
        <v>118</v>
      </c>
      <c r="C49" s="99" t="s">
        <v>247</v>
      </c>
      <c r="D49" s="40" t="s">
        <v>248</v>
      </c>
      <c r="E49" s="40" t="s">
        <v>121</v>
      </c>
      <c r="F49" s="40" t="s">
        <v>164</v>
      </c>
      <c r="G49" s="39" t="s">
        <v>192</v>
      </c>
      <c r="H49" s="41" t="s">
        <v>19</v>
      </c>
      <c r="I49" s="42" t="s">
        <v>249</v>
      </c>
      <c r="J49" s="42" t="str">
        <f>IFERROR(__xludf.DUMMYFUNCTION("GOOGLETRANSLATE(I49,""en"",""pl"")"),"Seria P sieciowa kamera kopułkowa 8MP AI IR do użytku wewnątrz pomieszczeń, modułowa struktura X PLUS, 8MP @30fps, obiektyw zmiennoogniskowy 4,5~10 mm (2,2x), potrójny kodek H.265/H.264/MJPEG z WiseStream II, WiseStream III, strumieniowanie wielokrotne, W"&amp;"DR 120 dB, automatyczny tryb dzień/noc (ICR), widoczna długość podczerwieni 30 m, sklasyfikowany typ obiektu: osoba/twarz/pojazd/tablica rejestracyjna z atrybutami, BestShot na obiekt, zdarzenia analityczne oparte na silniku AI: wykrywanie obiektów, wykry"&amp;"wanie kierunkowe, cyfrowe śledzenie automatyczne, wejście/wyjście, włóczęgostwo, wirtualna linia, zdarzenia analityczne: wykrywanie braku ostrości, wykrywanie ruchu, pojawianie się/znikanie, manipulacja, wykrywanie dźwięku, klasyfikacja dźwięku, wykrywani"&amp;"e wstrząsów, analityka biznesowa, widok korytarza, dwukierunkowy dźwięk i podwójne gniazdo microSD/SDHC/SDXC, IP52, IK10, PoE+/12 V prądu stałego")</f>
        <v>Seria P sieciowa kamera kopułkowa 8MP AI IR do użytku wewnątrz pomieszczeń, modułowa struktura X PLUS, 8MP @30fps, obiektyw zmiennoogniskowy 4,5~10 mm (2,2x), potrójny kodek H.265/H.264/MJPEG z WiseStream II, WiseStream III, strumieniowanie wielokrotne, WDR 120 dB, automatyczny tryb dzień/noc (ICR), widoczna długość podczerwieni 30 m, sklasyfikowany typ obiektu: osoba/twarz/pojazd/tablica rejestracyjna z atrybutami, BestShot na obiekt, zdarzenia analityczne oparte na silniku AI: wykrywanie obiektów, wykrywanie kierunkowe, cyfrowe śledzenie automatyczne, wejście/wyjście, włóczęgostwo, wirtualna linia, zdarzenia analityczne: wykrywanie braku ostrości, wykrywanie ruchu, pojawianie się/znikanie, manipulacja, wykrywanie dźwięku, klasyfikacja dźwięku, wykrywanie wstrząsów, analityka biznesowa, widok korytarza, dwukierunkowy dźwięk i podwójne gniazdo microSD/SDHC/SDXC, IP52, IK10, PoE+/12 V prądu stałego</v>
      </c>
      <c r="K49" s="43" t="s">
        <v>21</v>
      </c>
      <c r="L49" s="44">
        <v>1950.0</v>
      </c>
      <c r="M49" s="8"/>
      <c r="N49" s="45" t="s">
        <v>22</v>
      </c>
      <c r="O49" s="97"/>
      <c r="P49" s="36"/>
      <c r="Q49" s="35"/>
      <c r="R49" s="68"/>
      <c r="S49" s="68"/>
      <c r="T49" s="68"/>
      <c r="U49" s="35"/>
      <c r="V49" s="35"/>
      <c r="W49" s="35"/>
      <c r="X49" s="35"/>
      <c r="Y49" s="35"/>
      <c r="Z49" s="35"/>
      <c r="AA49" s="35"/>
      <c r="AB49" s="35"/>
      <c r="AC49" s="60"/>
      <c r="AD49" s="85"/>
      <c r="AE49" s="85"/>
      <c r="AF49" s="85"/>
      <c r="AG49" s="85"/>
      <c r="AH49" s="85"/>
      <c r="AI49" s="85"/>
      <c r="AJ49" s="85"/>
      <c r="AK49" s="85"/>
      <c r="AL49" s="85"/>
      <c r="AM49" s="85"/>
      <c r="AN49" s="85"/>
      <c r="AO49" s="85"/>
      <c r="AP49" s="85"/>
    </row>
    <row r="50" ht="129.0" customHeight="1">
      <c r="A50" s="29"/>
      <c r="B50" s="38" t="s">
        <v>118</v>
      </c>
      <c r="C50" s="99" t="s">
        <v>250</v>
      </c>
      <c r="D50" s="40" t="s">
        <v>251</v>
      </c>
      <c r="E50" s="40" t="s">
        <v>121</v>
      </c>
      <c r="F50" s="40" t="s">
        <v>164</v>
      </c>
      <c r="G50" s="39" t="s">
        <v>192</v>
      </c>
      <c r="H50" s="41" t="s">
        <v>19</v>
      </c>
      <c r="I50" s="42" t="s">
        <v>252</v>
      </c>
      <c r="J50" s="42" t="str">
        <f>IFERROR(__xludf.DUMMYFUNCTION("GOOGLETRANSLATE(I50,""en"",""pl"")"),"Seria P sieciowa kamera kopułkowa 8MP AI IR do montażu wpuszczanego w pomieszczeniach, modułowa struktura X PLUS, 8MP @30fps, obiektyw zmiennoogniskowy 4,5~10 mm (2,2x), potrójny kodek H.265/H.264/MJPEG z WiseStream II, WiseStream III, strumieniowanie wie"&amp;"lokrotne, WDR 120 dB, automatyczny tryb dzień/noc (ICR), widoczna długość podczerwieni 30 m, sklasyfikowany typ obiektu: osoba/twarz/pojazd/tablica rejestracyjna z atrybutami, BestShot na obiekt, zdarzenia analityczne oparte na silniku AI: wykrywanie obie"&amp;"któw, wykrywanie kierunkowe, cyfrowe śledzenie automatyczne, wejście/wyjście, włóczęgostwo, wirtualna linia, zdarzenia analityczne: wykrywanie braku ostrości, wykrywanie ruchu, pojawianie się/znikanie, manipulacja, wykrywanie dźwięku, klasyfikacja dźwięku"&amp;", wykrywanie wstrząsów, analityka biznesowa, widok korytarza, dwukierunkowy dźwięk i podwójne gniazdo microSD/SDHC/SDXC, IP52, IK10, Szybkość plenum, PoE+/12VDC")</f>
        <v>Seria P sieciowa kamera kopułkowa 8MP AI IR do montażu wpuszczanego w pomieszczeniach, modułowa struktura X PLUS, 8MP @30fps, obiektyw zmiennoogniskowy 4,5~10 mm (2,2x), potrójny kodek H.265/H.264/MJPEG z WiseStream II, WiseStream III, strumieniowanie wielokrotne, WDR 120 dB, automatyczny tryb dzień/noc (ICR), widoczna długość podczerwieni 30 m, sklasyfikowany typ obiektu: osoba/twarz/pojazd/tablica rejestracyjna z atrybutami, BestShot na obiekt, zdarzenia analityczne oparte na silniku AI: wykrywanie obiektów, wykrywanie kierunkowe, cyfrowe śledzenie automatyczne, wejście/wyjście, włóczęgostwo, wirtualna linia, zdarzenia analityczne: wykrywanie braku ostrości, wykrywanie ruchu, pojawianie się/znikanie, manipulacja, wykrywanie dźwięku, klasyfikacja dźwięku, wykrywanie wstrząsów, analityka biznesowa, widok korytarza, dwukierunkowy dźwięk i podwójne gniazdo microSD/SDHC/SDXC, IP52, IK10, Szybkość plenum, PoE+/12VDC</v>
      </c>
      <c r="K50" s="43" t="s">
        <v>21</v>
      </c>
      <c r="L50" s="44">
        <v>1950.0</v>
      </c>
      <c r="M50" s="8"/>
      <c r="N50" s="45" t="s">
        <v>22</v>
      </c>
      <c r="O50" s="97"/>
      <c r="P50" s="36"/>
      <c r="Q50" s="35"/>
      <c r="R50" s="68"/>
      <c r="S50" s="68"/>
      <c r="T50" s="68"/>
      <c r="U50" s="35"/>
      <c r="V50" s="35"/>
      <c r="W50" s="35"/>
      <c r="X50" s="35"/>
      <c r="Y50" s="35"/>
      <c r="Z50" s="35"/>
      <c r="AA50" s="35"/>
      <c r="AB50" s="35"/>
      <c r="AC50" s="60"/>
      <c r="AD50" s="85"/>
      <c r="AE50" s="85"/>
      <c r="AF50" s="85"/>
      <c r="AG50" s="85"/>
      <c r="AH50" s="85"/>
      <c r="AI50" s="85"/>
      <c r="AJ50" s="85"/>
      <c r="AK50" s="85"/>
      <c r="AL50" s="85"/>
      <c r="AM50" s="85"/>
      <c r="AN50" s="85"/>
      <c r="AO50" s="85"/>
      <c r="AP50" s="85"/>
    </row>
    <row r="51" ht="84.75" customHeight="1">
      <c r="A51" s="29"/>
      <c r="B51" s="102" t="s">
        <v>118</v>
      </c>
      <c r="C51" s="103" t="s">
        <v>253</v>
      </c>
      <c r="D51" s="104" t="s">
        <v>254</v>
      </c>
      <c r="E51" s="104" t="s">
        <v>174</v>
      </c>
      <c r="F51" s="104" t="s">
        <v>164</v>
      </c>
      <c r="G51" s="39" t="s">
        <v>255</v>
      </c>
      <c r="H51" s="105" t="s">
        <v>19</v>
      </c>
      <c r="I51" s="106" t="s">
        <v>256</v>
      </c>
      <c r="J51" s="42" t="str">
        <f>IFERROR(__xludf.DUMMYFUNCTION("GOOGLETRANSLATE(I51,""en"",""pl"")"),"Kamera zewnętrzna z płaskim okiem AI z serii Q, 8 MP @ 30 kl./s, obiektyw o stałej ogniskowej 3 mm (H: 108°/ V: 59°), potrójny kodek H.265/H.264/MJPEG z Wisestream III, WDR 120 dB, podwójne światło – zasięg białej diody LED 30 m (98 stóp), widoczna długoś"&amp;"ć podczerwieni 30 m (98 stóp), wykrywanie ruchu na podstawie silnika AI, sklasyfikowany typ obiektu: osoba/pojazd (typ pojazdu: samochód/autobus/ciężarówka/motocykl/rower); Wydarzenia IVA oparte na silniku AI: wirtualna linia (przekroczenie/kierunek), wir"&amp;"tualny obszar (włóczęgostwo/wtargnięcie/wejście/wyjście/(zniknięcie)pojawienie się), wykrywanie braku ostrości, widok korytarza, karta SD, analiza wideo, IP66/IP67, IK10, PoE, temperatura pracy -40°C~+60°C(-40°F ~ +140°F), kolor biały")</f>
        <v>Kamera zewnętrzna z płaskim okiem AI z serii Q, 8 MP @ 30 kl./s, obiektyw o stałej ogniskowej 3 mm (H: 108°/ V: 59°), potrójny kodek H.265/H.264/MJPEG z Wisestream III, WDR 120 dB, podwójne światło – zasięg białej diody LED 30 m (98 stóp), widoczna długość podczerwieni 30 m (98 stóp), wykrywanie ruchu na podstawie silnika AI, sklasyfikowany typ obiektu: osoba/pojazd (typ pojazdu: samochód/autobus/ciężarówka/motocykl/rower); Wydarzenia IVA oparte na silniku AI: wirtualna linia (przekroczenie/kierunek), wirtualny obszar (włóczęgostwo/wtargnięcie/wejście/wyjście/(zniknięcie)pojawienie się), wykrywanie braku ostrości, widok korytarza, karta SD, analiza wideo, IP66/IP67, IK10, PoE, temperatura pracy -40°C~+60°C(-40°F ~ +140°F), kolor biały</v>
      </c>
      <c r="K51" s="100" t="s">
        <v>21</v>
      </c>
      <c r="L51" s="44">
        <v>750.0</v>
      </c>
      <c r="M51" s="8"/>
      <c r="N51" s="45" t="s">
        <v>22</v>
      </c>
      <c r="O51" s="97"/>
      <c r="P51" s="35"/>
      <c r="Q51" s="35"/>
      <c r="R51" s="68"/>
      <c r="S51" s="68"/>
      <c r="T51" s="68"/>
      <c r="U51" s="35"/>
      <c r="V51" s="35"/>
      <c r="W51" s="35"/>
      <c r="X51" s="35"/>
      <c r="Y51" s="35"/>
      <c r="Z51" s="35"/>
      <c r="AA51" s="35"/>
      <c r="AB51" s="35"/>
      <c r="AC51" s="101"/>
      <c r="AD51" s="98"/>
      <c r="AE51" s="98"/>
      <c r="AF51" s="98"/>
      <c r="AG51" s="98"/>
      <c r="AH51" s="98"/>
      <c r="AI51" s="98"/>
      <c r="AJ51" s="98"/>
      <c r="AK51" s="98"/>
      <c r="AL51" s="98"/>
      <c r="AM51" s="98"/>
      <c r="AN51" s="98"/>
      <c r="AO51" s="98"/>
      <c r="AP51" s="98"/>
    </row>
    <row r="52" ht="84.75" customHeight="1">
      <c r="A52" s="29"/>
      <c r="B52" s="102" t="s">
        <v>118</v>
      </c>
      <c r="C52" s="103" t="s">
        <v>257</v>
      </c>
      <c r="D52" s="104" t="s">
        <v>180</v>
      </c>
      <c r="E52" s="104" t="s">
        <v>174</v>
      </c>
      <c r="F52" s="104" t="s">
        <v>164</v>
      </c>
      <c r="G52" s="103" t="s">
        <v>18</v>
      </c>
      <c r="H52" s="105" t="s">
        <v>19</v>
      </c>
      <c r="I52" s="106" t="s">
        <v>258</v>
      </c>
      <c r="J52" s="42" t="str">
        <f>IFERROR(__xludf.DUMMYFUNCTION("GOOGLETRANSLATE(I52,""en"",""pl"")"),"Kamera zewnętrzna z serii Q AI IR, 8 MP @30fps, obiektyw zmiennoogniskowy z napędem silnikowym 3,2 ~ 10,2 mm (3,2x), potrójny kodek H.265/H.264/MJPEG z WiseStream II, strumieniowanie wielokrotne, WDR 120 dB, automatyczny tryb dzień/noc (ICR), widoczna dłu"&amp;"gość podczerwieni 30 m, wykrywanie obiektów (osoba/pojazd), atrybuty AI typu pojazdu, zdarzenia analityczne oparte na silniku AI (wykrywanie ruchu, wykrywanie obiektów, linia wirtualna, obszar wirtualny), WiseMD (wykrywanie ruchu AI), LDC (korekcja znieks"&amp;"ztałceń obiektywu), kopułka z twardą powłoką, zawór Gore, gniazdo SD/SDHC/SDXC, IP66, IK10, PoE")</f>
        <v>Kamera zewnętrzna z serii Q AI IR, 8 MP @30fps, obiektyw zmiennoogniskowy z napędem silnikowym 3,2 ~ 10,2 mm (3,2x), potrójny kodek H.265/H.264/MJPEG z WiseStream II, strumieniowanie wielokrotne, WDR 120 dB, automatyczny tryb dzień/noc (ICR), widoczna długość podczerwieni 30 m, wykrywanie obiektów (osoba/pojazd), atrybuty AI typu pojazdu, zdarzenia analityczne oparte na silniku AI (wykrywanie ruchu, wykrywanie obiektów, linia wirtualna, obszar wirtualny), WiseMD (wykrywanie ruchu AI), LDC (korekcja zniekształceń obiektywu), kopułka z twardą powłoką, zawór Gore, gniazdo SD/SDHC/SDXC, IP66, IK10, PoE</v>
      </c>
      <c r="K52" s="100" t="s">
        <v>21</v>
      </c>
      <c r="L52" s="44">
        <v>930.0</v>
      </c>
      <c r="M52" s="8"/>
      <c r="N52" s="45" t="s">
        <v>22</v>
      </c>
      <c r="O52" s="97"/>
      <c r="P52" s="36"/>
      <c r="Q52" s="35"/>
      <c r="R52" s="68"/>
      <c r="S52" s="68"/>
      <c r="T52" s="68"/>
      <c r="U52" s="35"/>
      <c r="V52" s="35"/>
      <c r="W52" s="35"/>
      <c r="X52" s="35"/>
      <c r="Y52" s="35"/>
      <c r="Z52" s="35"/>
      <c r="AA52" s="35"/>
      <c r="AB52" s="35"/>
      <c r="AC52" s="60"/>
      <c r="AD52" s="85"/>
      <c r="AE52" s="85"/>
      <c r="AF52" s="85"/>
      <c r="AG52" s="85"/>
      <c r="AH52" s="85"/>
      <c r="AI52" s="85"/>
      <c r="AJ52" s="85"/>
      <c r="AK52" s="85"/>
      <c r="AL52" s="85"/>
      <c r="AM52" s="85"/>
      <c r="AN52" s="85"/>
      <c r="AO52" s="85"/>
      <c r="AP52" s="85"/>
    </row>
    <row r="53" ht="84.75" customHeight="1">
      <c r="A53" s="29"/>
      <c r="B53" s="102" t="s">
        <v>118</v>
      </c>
      <c r="C53" s="103" t="s">
        <v>259</v>
      </c>
      <c r="D53" s="104" t="s">
        <v>187</v>
      </c>
      <c r="E53" s="104" t="s">
        <v>174</v>
      </c>
      <c r="F53" s="104" t="s">
        <v>164</v>
      </c>
      <c r="G53" s="103" t="s">
        <v>184</v>
      </c>
      <c r="H53" s="105" t="s">
        <v>19</v>
      </c>
      <c r="I53" s="106" t="s">
        <v>260</v>
      </c>
      <c r="J53" s="42" t="str">
        <f>IFERROR(__xludf.DUMMYFUNCTION("GOOGLETRANSLATE(I53,""en"",""pl"")"),"Seria Q AI sieciowa kamera kopułkowa IR zewnętrzna, odporna na akty wandalizmu, 8 MP @30fps, obiektyw zmiennoogniskowy 3,2 ~ 10,2 mm (3,2x), potrójny kodek H.265/H.264/MJPEG z WiseStream II, strumieniowanie wielokrotne, WDR 120 dB, automatyczny tryb dzień"&amp;"/noc (ICR), widoczna długość podczerwieni 30 m, wykrywanie obiektów (osoba/pojazd), atrybuty AI typu pojazdu, zdarzenia analityczne oparte na silniku AI (wykrywanie ruchu, wykrywanie obiektów, linia wirtualna, obszar wirtualny), WiseMD (wykrywanie ruchu A"&amp;"I), LDC (korekcja zniekształceń obiektywu), kopułkowa kopułka z twardą powłoką, zawór Gore, gniazdo SD/SDHC/SDXC, IP66, IK10, PoE")</f>
        <v>Seria Q AI sieciowa kamera kopułkowa IR zewnętrzna, odporna na akty wandalizmu, 8 MP @30fps, obiektyw zmiennoogniskowy 3,2 ~ 10,2 mm (3,2x), potrójny kodek H.265/H.264/MJPEG z WiseStream II, strumieniowanie wielokrotne, WDR 120 dB, automatyczny tryb dzień/noc (ICR), widoczna długość podczerwieni 30 m, wykrywanie obiektów (osoba/pojazd), atrybuty AI typu pojazdu, zdarzenia analityczne oparte na silniku AI (wykrywanie ruchu, wykrywanie obiektów, linia wirtualna, obszar wirtualny), WiseMD (wykrywanie ruchu AI), LDC (korekcja zniekształceń obiektywu), kopułkowa kopułka z twardą powłoką, zawór Gore, gniazdo SD/SDHC/SDXC, IP66, IK10, PoE</v>
      </c>
      <c r="K53" s="107" t="s">
        <v>21</v>
      </c>
      <c r="L53" s="44">
        <v>930.0</v>
      </c>
      <c r="M53" s="8"/>
      <c r="N53" s="45" t="s">
        <v>22</v>
      </c>
      <c r="O53" s="97"/>
      <c r="P53" s="36"/>
      <c r="Q53" s="35"/>
      <c r="R53" s="68"/>
      <c r="S53" s="68"/>
      <c r="T53" s="68"/>
      <c r="U53" s="35"/>
      <c r="V53" s="35"/>
      <c r="W53" s="35"/>
      <c r="X53" s="35"/>
      <c r="Y53" s="35"/>
      <c r="Z53" s="35"/>
      <c r="AA53" s="35"/>
      <c r="AB53" s="35"/>
      <c r="AC53" s="60"/>
      <c r="AD53" s="85"/>
      <c r="AE53" s="85"/>
      <c r="AF53" s="85"/>
      <c r="AG53" s="85"/>
      <c r="AH53" s="85"/>
      <c r="AI53" s="85"/>
      <c r="AJ53" s="85"/>
      <c r="AK53" s="85"/>
      <c r="AL53" s="85"/>
      <c r="AM53" s="85"/>
      <c r="AN53" s="85"/>
      <c r="AO53" s="85"/>
      <c r="AP53" s="85"/>
    </row>
    <row r="54" ht="84.75" customHeight="1">
      <c r="A54" s="29"/>
      <c r="B54" s="102" t="s">
        <v>118</v>
      </c>
      <c r="C54" s="103" t="s">
        <v>261</v>
      </c>
      <c r="D54" s="104" t="s">
        <v>262</v>
      </c>
      <c r="E54" s="104" t="s">
        <v>174</v>
      </c>
      <c r="F54" s="104" t="s">
        <v>164</v>
      </c>
      <c r="G54" s="104" t="s">
        <v>184</v>
      </c>
      <c r="H54" s="105" t="s">
        <v>19</v>
      </c>
      <c r="I54" s="106" t="s">
        <v>263</v>
      </c>
      <c r="J54" s="42" t="str">
        <f>IFERROR(__xludf.DUMMYFUNCTION("GOOGLETRANSLATE(I54,""en"",""pl"")"),"Seria Q AI sieciowa kamera kopułkowa IR Micro Vandal, 8 MP @30fps, obiektyw stały 3,0 mm, potrójny kodek H.265/H.264/MJPEG, strumieniowanie wielokrotne do 5 profili, WDR 120 dB, dzień i noc (ICR), diody LED IR dużej mocy z widoczną długością podczerwieni "&amp;"20 m, zdarzenia analityczne oparte na silniku AI: wykrywanie obiektów (osoba/pojazd — samochód, ciężarówka, autobus, rower, motocykl), IVA (wirtualna linia/obszar, wejście/wyjście, wałęsanie się, kierunek, wtargnięcie), zdarzenia analityczne: wykrywanie b"&amp;"raku ostrości, manipulacja, pojedyncze gniazdo microSD/SDHC/SDXC, ONVIF S/G/T/M, port USB ułatwiający instalację, IP66, IK10, NEMA4X, PoE, biały")</f>
        <v>Seria Q AI sieciowa kamera kopułkowa IR Micro Vandal, 8 MP @30fps, obiektyw stały 3,0 mm, potrójny kodek H.265/H.264/MJPEG, strumieniowanie wielokrotne do 5 profili, WDR 120 dB, dzień i noc (ICR), diody LED IR dużej mocy z widoczną długością podczerwieni 20 m, zdarzenia analityczne oparte na silniku AI: wykrywanie obiektów (osoba/pojazd — samochód, ciężarówka, autobus, rower, motocykl), IVA (wirtualna linia/obszar, wejście/wyjście, wałęsanie się, kierunek, wtargnięcie), zdarzenia analityczne: wykrywanie braku ostrości, manipulacja, pojedyncze gniazdo microSD/SDHC/SDXC, ONVIF S/G/T/M, port USB ułatwiający instalację, IP66, IK10, NEMA4X, PoE, biały</v>
      </c>
      <c r="K54" s="108" t="s">
        <v>21</v>
      </c>
      <c r="L54" s="44">
        <v>649.0</v>
      </c>
      <c r="M54" s="8"/>
      <c r="N54" s="45" t="s">
        <v>22</v>
      </c>
      <c r="O54" s="97"/>
      <c r="P54" s="36"/>
      <c r="Q54" s="35"/>
      <c r="R54" s="68"/>
      <c r="S54" s="68"/>
      <c r="T54" s="68"/>
      <c r="U54" s="35"/>
      <c r="V54" s="35"/>
      <c r="W54" s="35"/>
      <c r="X54" s="35"/>
      <c r="Y54" s="35"/>
      <c r="Z54" s="35"/>
      <c r="AA54" s="35"/>
      <c r="AB54" s="35"/>
      <c r="AC54" s="60"/>
      <c r="AD54" s="85"/>
      <c r="AE54" s="85"/>
      <c r="AF54" s="85"/>
      <c r="AG54" s="85"/>
      <c r="AH54" s="85"/>
      <c r="AI54" s="85"/>
      <c r="AJ54" s="85"/>
      <c r="AK54" s="85"/>
      <c r="AL54" s="85"/>
      <c r="AM54" s="85"/>
      <c r="AN54" s="85"/>
      <c r="AO54" s="85"/>
      <c r="AP54" s="85"/>
    </row>
    <row r="55" ht="120.0" customHeight="1">
      <c r="A55" s="29"/>
      <c r="B55" s="38" t="s">
        <v>118</v>
      </c>
      <c r="C55" s="39" t="s">
        <v>264</v>
      </c>
      <c r="D55" s="40" t="s">
        <v>265</v>
      </c>
      <c r="E55" s="40" t="s">
        <v>121</v>
      </c>
      <c r="F55" s="40" t="s">
        <v>164</v>
      </c>
      <c r="G55" s="39" t="s">
        <v>18</v>
      </c>
      <c r="H55" s="41" t="s">
        <v>19</v>
      </c>
      <c r="I55" s="42" t="s">
        <v>266</v>
      </c>
      <c r="J55" s="42" t="str">
        <f>IFERROR(__xludf.DUMMYFUNCTION("GOOGLETRANSLATE(I55,""en"",""pl"")"),"Kamera zewnętrzna z serii P, sieciowa 8MP AI IR typu bullet, wandaloodporna, z wbudowaną aplikacją Wisenet Road AI do analizy ANPR, MMCR (marka, model, rozpoznawanie kolorów) i klasyfikacji pojazdów, inteligentne wyszukiwanie, czarna/biała lista, statysty"&amp;"ki, kontrola barier, obsługa integracji VMS/JSON, fabrycznie zainstalowana karta Micro SD o pojemności 32 GB do obsługi 10 000 obrazów ANPR, 8MP @30fps, obiektyw zmiennoogniskowy P 4,5~10 mm (2,2x), potrójny kodek H.265/H.264/MJPEG z WiseStream II, strumi"&amp;"eniowanie wielokrotne, True Day &amp; Night (ICR), widoczna długość podczerwieni 30 m, inne zdarzenia analityczne: wykrywanie wstrząsów, wykrywanie ruchu, wykrywanie manipulacji, wykrywanie braku ostrości, wykrywanie dźwięku, klasyfikacja dźwięku, dźwięk dwuk"&amp;"ierunkowy, 1 wejście/1 wyjście, PoE+/12 V DC, IP66/IP67, IK10+, NEMA4X")</f>
        <v>Kamera zewnętrzna z serii P, sieciowa 8MP AI IR typu bullet, wandaloodporna, z wbudowaną aplikacją Wisenet Road AI do analizy ANPR, MMCR (marka, model, rozpoznawanie kolorów) i klasyfikacji pojazdów, inteligentne wyszukiwanie, czarna/biała lista, statystyki, kontrola barier, obsługa integracji VMS/JSON, fabrycznie zainstalowana karta Micro SD o pojemności 32 GB do obsługi 10 000 obrazów ANPR, 8MP @30fps, obiektyw zmiennoogniskowy P 4,5~10 mm (2,2x), potrójny kodek H.265/H.264/MJPEG z WiseStream II, strumieniowanie wielokrotne, True Day &amp; Night (ICR), widoczna długość podczerwieni 30 m, inne zdarzenia analityczne: wykrywanie wstrząsów, wykrywanie ruchu, wykrywanie manipulacji, wykrywanie braku ostrości, wykrywanie dźwięku, klasyfikacja dźwięku, dźwięk dwukierunkowy, 1 wejście/1 wyjście, PoE+/12 V DC, IP66/IP67, IK10+, NEMA4X</v>
      </c>
      <c r="K55" s="109" t="s">
        <v>21</v>
      </c>
      <c r="L55" s="44">
        <v>2840.0</v>
      </c>
      <c r="M55" s="8"/>
      <c r="N55" s="45" t="s">
        <v>22</v>
      </c>
      <c r="O55" s="97"/>
      <c r="P55" s="36"/>
      <c r="Q55" s="35"/>
      <c r="R55" s="68"/>
      <c r="S55" s="68"/>
      <c r="T55" s="68"/>
      <c r="U55" s="35"/>
      <c r="V55" s="35"/>
      <c r="W55" s="35"/>
      <c r="X55" s="35"/>
      <c r="Y55" s="35"/>
      <c r="Z55" s="35"/>
      <c r="AA55" s="35"/>
      <c r="AB55" s="35"/>
      <c r="AC55" s="60"/>
      <c r="AD55" s="85"/>
      <c r="AE55" s="85"/>
      <c r="AF55" s="85"/>
      <c r="AG55" s="85"/>
      <c r="AH55" s="85"/>
      <c r="AI55" s="85"/>
      <c r="AJ55" s="85"/>
      <c r="AK55" s="85"/>
      <c r="AL55" s="85"/>
      <c r="AM55" s="85"/>
      <c r="AN55" s="85"/>
      <c r="AO55" s="85"/>
      <c r="AP55" s="85"/>
    </row>
    <row r="56" ht="120.0" customHeight="1">
      <c r="A56" s="29"/>
      <c r="B56" s="38" t="s">
        <v>118</v>
      </c>
      <c r="C56" s="39" t="s">
        <v>267</v>
      </c>
      <c r="D56" s="40" t="s">
        <v>268</v>
      </c>
      <c r="E56" s="40" t="s">
        <v>121</v>
      </c>
      <c r="F56" s="40" t="s">
        <v>164</v>
      </c>
      <c r="G56" s="39" t="s">
        <v>18</v>
      </c>
      <c r="H56" s="41" t="s">
        <v>19</v>
      </c>
      <c r="I56" s="42" t="s">
        <v>269</v>
      </c>
      <c r="J56" s="42" t="str">
        <f>IFERROR(__xludf.DUMMYFUNCTION("GOOGLETRANSLATE(I56,""en"",""pl"")"),"Kamera typu bullet z serii P 8MP AI IR 31x z aplikacją Wisenet Road AI i kartą SD o pojemności 32 GB — nadzór ruchu drogowego o dużej prędkości obejmujący do dwóch pasów ruchu z prędkością do 100 km/h (65 mil/h). Rozdzielczość 4K @ 30 kl./s, 0,05 luksa pr"&amp;"zy F1.6 (kolor), 0 luksów (czarno-biały, włączona dioda LED IR), dzień i noc (ICR), obiektyw z zoomem 6,91~214,64 mm (31x), WDR (120 dB) H.265, H.264, kodek MJPEG, temperatura pracy: -40°C~+55°C(-40°F ~ +131°F), zasilanie: PoE+/12 V DC, ekranowane metalem"&amp;" złącze RJ-45, IP66/IP67, IK10, NEMA4X. Aplikacja Wisenet Road AI (wstępnie zainstalowana) obejmuje: rozpoznawanie tablic rejestracyjnych, rozpoznawanie marki/modelu/koloru, rozpoznawanie klasy pojazdu (niezidentyfikowany, samochód osobowy, SUV, van, LCV,"&amp;" ciężarówka, autobus, rower), powiadomienia o liście, wykrywanie kierunku (tylko w trybie wysokiej wydajności), inteligentne wyszukiwanie (tablica rejestracyjna, kraj, marka, model, kolor, typ pojazdu), statystyki pojazdu (według dnia, tygodnia, 5 najpopu"&amp;"larniejszych marek, 5 najpopularniejszych modeli i typów)")</f>
        <v>Kamera typu bullet z serii P 8MP AI IR 31x z aplikacją Wisenet Road AI i kartą SD o pojemności 32 GB — nadzór ruchu drogowego o dużej prędkości obejmujący do dwóch pasów ruchu z prędkością do 100 km/h (65 mil/h). Rozdzielczość 4K @ 30 kl./s, 0,05 luksa przy F1.6 (kolor), 0 luksów (czarno-biały, włączona dioda LED IR), dzień i noc (ICR), obiektyw z zoomem 6,91~214,64 mm (31x), WDR (120 dB) H.265, H.264, kodek MJPEG, temperatura pracy: -40°C~+55°C(-40°F ~ +131°F), zasilanie: PoE+/12 V DC, ekranowane metalem złącze RJ-45, IP66/IP67, IK10, NEMA4X. Aplikacja Wisenet Road AI (wstępnie zainstalowana) obejmuje: rozpoznawanie tablic rejestracyjnych, rozpoznawanie marki/modelu/koloru, rozpoznawanie klasy pojazdu (niezidentyfikowany, samochód osobowy, SUV, van, LCV, ciężarówka, autobus, rower), powiadomienia o liście, wykrywanie kierunku (tylko w trybie wysokiej wydajności), inteligentne wyszukiwanie (tablica rejestracyjna, kraj, marka, model, kolor, typ pojazdu), statystyki pojazdu (według dnia, tygodnia, 5 najpopularniejszych marek, 5 najpopularniejszych modeli i typów)</v>
      </c>
      <c r="K56" s="43" t="s">
        <v>21</v>
      </c>
      <c r="L56" s="44">
        <v>3500.0</v>
      </c>
      <c r="M56" s="8"/>
      <c r="N56" s="45" t="s">
        <v>22</v>
      </c>
      <c r="O56" s="97"/>
      <c r="P56" s="36"/>
      <c r="Q56" s="35"/>
      <c r="R56" s="68"/>
      <c r="S56" s="68"/>
      <c r="T56" s="68"/>
      <c r="U56" s="35"/>
      <c r="V56" s="35"/>
      <c r="W56" s="35"/>
      <c r="X56" s="35"/>
      <c r="Y56" s="35"/>
      <c r="Z56" s="35"/>
      <c r="AA56" s="35"/>
      <c r="AB56" s="35"/>
      <c r="AC56" s="60"/>
      <c r="AD56" s="85"/>
      <c r="AE56" s="85"/>
      <c r="AF56" s="85"/>
      <c r="AG56" s="85"/>
      <c r="AH56" s="85"/>
      <c r="AI56" s="85"/>
      <c r="AJ56" s="85"/>
      <c r="AK56" s="85"/>
      <c r="AL56" s="85"/>
      <c r="AM56" s="85"/>
      <c r="AN56" s="85"/>
      <c r="AO56" s="85"/>
      <c r="AP56" s="85"/>
    </row>
    <row r="57" ht="120.0" customHeight="1">
      <c r="A57" s="29"/>
      <c r="B57" s="38" t="s">
        <v>118</v>
      </c>
      <c r="C57" s="39" t="s">
        <v>270</v>
      </c>
      <c r="D57" s="40" t="s">
        <v>271</v>
      </c>
      <c r="E57" s="40" t="s">
        <v>121</v>
      </c>
      <c r="F57" s="40" t="s">
        <v>164</v>
      </c>
      <c r="G57" s="39" t="s">
        <v>184</v>
      </c>
      <c r="H57" s="41" t="s">
        <v>19</v>
      </c>
      <c r="I57" s="42" t="s">
        <v>272</v>
      </c>
      <c r="J57" s="42" t="str">
        <f>IFERROR(__xludf.DUMMYFUNCTION("GOOGLETRANSLATE(I57,""en"",""pl"")"),"Seria P sieciowa kamera zewnętrzna 4K AI IR z wbudowaną aplikacją Wisenet Road AI do analizy ANPR, MMCR (marka, model, rozpoznawanie kolorów) i klasyfikacji pojazdów, inteligentne wyszukiwanie, czarna/biała lista, statystyki, kontrola barier, obsługa inte"&amp;"gracji VMS/JSON, wstępnie zainstalowana karta Micro SD o pojemności 32 GB do obsługi 10 000 obrazów ANPR, modułowa struktura X PLUS, 8 MP @30fps, 4,5~10 mm obiektyw zmiennoogniskowy P iris (2,2x), potrójny kodek H.265/H.264/MJPEG z WiseStream II, strumien"&amp;"iowanie wielokrotne, True Day &amp; Night (ICR), widoczna długość podczerwieni 30 m, inne zdarzenia analityczne: wykrywanie wstrząsów, wykrywanie ruchu, wykrywanie manipulacji, wykrywanie braku ostrości, wykrywanie dźwięku, klasyfikacja dźwięku, dźwięk dwukie"&amp;"runkowy, 1 wejście/1 wyjście, PoE+/12 V DC, IP66/IP67/IP6K9K, IK10+, NEMA4X")</f>
        <v>Seria P sieciowa kamera zewnętrzna 4K AI IR z wbudowaną aplikacją Wisenet Road AI do analizy ANPR, MMCR (marka, model, rozpoznawanie kolorów) i klasyfikacji pojazdów, inteligentne wyszukiwanie, czarna/biała lista, statystyki, kontrola barier, obsługa integracji VMS/JSON, wstępnie zainstalowana karta Micro SD o pojemności 32 GB do obsługi 10 000 obrazów ANPR, modułowa struktura X PLUS, 8 MP @30fps, 4,5~10 mm obiektyw zmiennoogniskowy P iris (2,2x), potrójny kodek H.265/H.264/MJPEG z WiseStream II, strumieniowanie wielokrotne, True Day &amp; Night (ICR), widoczna długość podczerwieni 30 m, inne zdarzenia analityczne: wykrywanie wstrząsów, wykrywanie ruchu, wykrywanie manipulacji, wykrywanie braku ostrości, wykrywanie dźwięku, klasyfikacja dźwięku, dźwięk dwukierunkowy, 1 wejście/1 wyjście, PoE+/12 V DC, IP66/IP67/IP6K9K, IK10+, NEMA4X</v>
      </c>
      <c r="K57" s="43" t="s">
        <v>21</v>
      </c>
      <c r="L57" s="44">
        <v>2940.0</v>
      </c>
      <c r="M57" s="8"/>
      <c r="N57" s="45" t="s">
        <v>22</v>
      </c>
      <c r="O57" s="97"/>
      <c r="P57" s="36"/>
      <c r="Q57" s="35"/>
      <c r="R57" s="68"/>
      <c r="S57" s="68"/>
      <c r="T57" s="68"/>
      <c r="U57" s="35"/>
      <c r="V57" s="35"/>
      <c r="W57" s="35"/>
      <c r="X57" s="35"/>
      <c r="Y57" s="35"/>
      <c r="Z57" s="35"/>
      <c r="AA57" s="35"/>
      <c r="AB57" s="35"/>
      <c r="AC57" s="101"/>
      <c r="AD57" s="98"/>
      <c r="AE57" s="98"/>
      <c r="AF57" s="98"/>
      <c r="AG57" s="98"/>
      <c r="AH57" s="98"/>
      <c r="AI57" s="85"/>
      <c r="AJ57" s="85"/>
      <c r="AK57" s="85"/>
      <c r="AL57" s="85"/>
      <c r="AM57" s="85"/>
      <c r="AN57" s="85"/>
      <c r="AO57" s="85"/>
      <c r="AP57" s="85"/>
    </row>
    <row r="58" ht="46.5" customHeight="1">
      <c r="A58" s="29"/>
      <c r="B58" s="38" t="s">
        <v>118</v>
      </c>
      <c r="C58" s="39" t="s">
        <v>273</v>
      </c>
      <c r="D58" s="40" t="s">
        <v>274</v>
      </c>
      <c r="E58" s="40" t="s">
        <v>121</v>
      </c>
      <c r="F58" s="40" t="s">
        <v>275</v>
      </c>
      <c r="G58" s="39" t="s">
        <v>123</v>
      </c>
      <c r="H58" s="41" t="s">
        <v>276</v>
      </c>
      <c r="I58" s="42" t="s">
        <v>277</v>
      </c>
      <c r="J58" s="42" t="str">
        <f>IFERROR(__xludf.DUMMYFUNCTION("GOOGLETRANSLATE(I58,""en"",""pl"")"),"Zewnętrzna kamera sieciowa P Series z wieloma czujnikami i wielokierunkowym PTZ, 4 czujniki x 2 MP/5 MP i moduł PTZ 2 MP, 10 MP ~ 22 MP (2 MP @ 60 kl./s lub 5 MP @ 30 kl./s), 4 moduły obiektywu stałoogniskowego i obiektyw 4,44 ~ 142,6 mm (optyczny 32x), p"&amp;"otrójny kodek H.265/H.264/MJPEG z WiseStream II, strumieniowanie wielokrotne, WDR 150 dB @ 2 MP lub WDR 120 dB @ 5 MP, automatyczny tryb dzień/noc (ICR), zaawansowana analiza wideo, detekcja ruchu, widok korytarza, detekcja mgły, HLC, cyfrowa stabilizacja"&amp;" obrazu z wbudowanym żyroskopem, 5 gniazd Micro SD/SDHC/SDXC, IP66, IK10, HPoE (zasilacz w zestawie)
Moduły obiektywu 2 MP (sprzedawane oddzielnie): SLA-2M2400P (2,4 mm), SLA-2M2800P (2,8 mm), SLA-2M3600P (3,6 mm), SLA-2M6000P (6 mm), SLA-2M1200P (12 mm)
"&amp;"Moduły obiektywu 5 MP (sprzedawane oddzielnie): SLA-5M3700P (3,7 mm), SLA-5M4600P (4,6 mm), SLA-5M7000P (7,0 mm)
* Iniektor PoE nie jest dołączony do zestawu.")</f>
        <v>Zewnętrzna kamera sieciowa P Series z wieloma czujnikami i wielokierunkowym PTZ, 4 czujniki x 2 MP/5 MP i moduł PTZ 2 MP, 10 MP ~ 22 MP (2 MP @ 60 kl./s lub 5 MP @ 30 kl./s), 4 moduły obiektywu stałoogniskowego i obiektyw 4,44 ~ 142,6 mm (optyczny 32x), potrójny kodek H.265/H.264/MJPEG z WiseStream II, strumieniowanie wielokrotne, WDR 150 dB @ 2 MP lub WDR 120 dB @ 5 MP, automatyczny tryb dzień/noc (ICR), zaawansowana analiza wideo, detekcja ruchu, widok korytarza, detekcja mgły, HLC, cyfrowa stabilizacja obrazu z wbudowanym żyroskopem, 5 gniazd Micro SD/SDHC/SDXC, IP66, IK10, HPoE (zasilacz w zestawie)
Moduły obiektywu 2 MP (sprzedawane oddzielnie): SLA-2M2400P (2,4 mm), SLA-2M2800P (2,8 mm), SLA-2M3600P (3,6 mm), SLA-2M6000P (6 mm), SLA-2M1200P (12 mm)
Moduły obiektywu 5 MP (sprzedawane oddzielnie): SLA-5M3700P (3,7 mm), SLA-5M4600P (4,6 mm), SLA-5M7000P (7,0 mm)
* Iniektor PoE nie jest dołączony do zestawu.</v>
      </c>
      <c r="K58" s="43" t="s">
        <v>21</v>
      </c>
      <c r="L58" s="44">
        <v>5507.0</v>
      </c>
      <c r="M58" s="8"/>
      <c r="N58" s="45" t="s">
        <v>22</v>
      </c>
      <c r="O58" s="97"/>
      <c r="P58" s="36"/>
      <c r="Q58" s="35"/>
      <c r="R58" s="68"/>
      <c r="S58" s="68"/>
      <c r="T58" s="68"/>
      <c r="U58" s="35"/>
      <c r="V58" s="35"/>
      <c r="W58" s="35"/>
      <c r="X58" s="35"/>
      <c r="Y58" s="35"/>
      <c r="Z58" s="35"/>
      <c r="AA58" s="35"/>
      <c r="AB58" s="35"/>
      <c r="AC58" s="85"/>
      <c r="AD58" s="85"/>
      <c r="AE58" s="85"/>
      <c r="AF58" s="85"/>
      <c r="AG58" s="85"/>
      <c r="AH58" s="85"/>
      <c r="AI58" s="85"/>
      <c r="AJ58" s="85"/>
      <c r="AK58" s="85"/>
      <c r="AL58" s="85"/>
      <c r="AM58" s="85"/>
      <c r="AN58" s="85"/>
      <c r="AO58" s="85"/>
      <c r="AP58" s="85"/>
    </row>
    <row r="59" ht="84.75" customHeight="1">
      <c r="A59" s="29"/>
      <c r="B59" s="38" t="s">
        <v>118</v>
      </c>
      <c r="C59" s="39" t="s">
        <v>278</v>
      </c>
      <c r="D59" s="40" t="s">
        <v>279</v>
      </c>
      <c r="E59" s="40" t="s">
        <v>121</v>
      </c>
      <c r="F59" s="40" t="s">
        <v>280</v>
      </c>
      <c r="G59" s="39" t="s">
        <v>123</v>
      </c>
      <c r="H59" s="41" t="s">
        <v>19</v>
      </c>
      <c r="I59" s="42" t="s">
        <v>281</v>
      </c>
      <c r="J59" s="42" t="str">
        <f>IFERROR(__xludf.DUMMYFUNCTION("GOOGLETRANSLATE(I59,""en"",""pl"")"),"Zewnętrzna kamera kopułkowa IR PTRZ z wieloma czujnikami i wieloma kierunkami, z cyfrową stabilizacją obrazu, 4 czujniki x 5 MP, maks. 8 MP przy 30 kl./s, 4 obiektywy zmiennoogniskowe 4,13 ~ 9,4 mm (2,3x), potrójny kodek H.265/H.264/MJPEG z WiseStream II,"&amp;" strumieniowanie wielokrotne, WDR 120 dB, automatyczny tryb dzień/noc (ICR), widoczna długość podczerwieni 30 m, zaawansowana analiza wideo i klasyfikacja dźwięku, wykrywanie ruchu, widok korytarza, wykrywanie mgły, HLC, cyfrowa stabilizacja obrazu, 4 gni"&amp;"azda SD/SDHC/SDXC, IP66, IK10, NEMA4X, HPoE/12 V DC. Zawiera wtryskiwacz HPoE.")</f>
        <v>Zewnętrzna kamera kopułkowa IR PTRZ z wieloma czujnikami i wieloma kierunkami, z cyfrową stabilizacją obrazu, 4 czujniki x 5 MP, maks. 8 MP przy 30 kl./s, 4 obiektywy zmiennoogniskowe 4,13 ~ 9,4 mm (2,3x), potrójny kodek H.265/H.264/MJPEG z WiseStream II, strumieniowanie wielokrotne, WDR 120 dB, automatyczny tryb dzień/noc (ICR), widoczna długość podczerwieni 30 m, zaawansowana analiza wideo i klasyfikacja dźwięku, wykrywanie ruchu, widok korytarza, wykrywanie mgły, HLC, cyfrowa stabilizacja obrazu, 4 gniazda SD/SDHC/SDXC, IP66, IK10, NEMA4X, HPoE/12 V DC. Zawiera wtryskiwacz HPoE.</v>
      </c>
      <c r="K59" s="43" t="s">
        <v>21</v>
      </c>
      <c r="L59" s="44">
        <v>3370.0</v>
      </c>
      <c r="M59" s="8"/>
      <c r="N59" s="45" t="s">
        <v>22</v>
      </c>
      <c r="O59" s="97"/>
      <c r="P59" s="36"/>
      <c r="Q59" s="35"/>
      <c r="R59" s="68"/>
      <c r="S59" s="68"/>
      <c r="T59" s="68"/>
      <c r="U59" s="35"/>
      <c r="V59" s="35"/>
      <c r="W59" s="35"/>
      <c r="X59" s="35"/>
      <c r="Y59" s="35"/>
      <c r="Z59" s="35"/>
      <c r="AA59" s="35"/>
      <c r="AB59" s="35"/>
      <c r="AC59" s="85"/>
      <c r="AD59" s="85"/>
      <c r="AE59" s="85"/>
      <c r="AF59" s="85"/>
      <c r="AG59" s="85"/>
      <c r="AH59" s="85"/>
      <c r="AI59" s="85"/>
      <c r="AJ59" s="85"/>
      <c r="AK59" s="85"/>
      <c r="AL59" s="85"/>
      <c r="AM59" s="85"/>
      <c r="AN59" s="85"/>
      <c r="AO59" s="85"/>
      <c r="AP59" s="85"/>
    </row>
    <row r="60" ht="84.75" customHeight="1">
      <c r="A60" s="29"/>
      <c r="B60" s="102" t="s">
        <v>118</v>
      </c>
      <c r="C60" s="103" t="s">
        <v>282</v>
      </c>
      <c r="D60" s="104" t="s">
        <v>283</v>
      </c>
      <c r="E60" s="104" t="s">
        <v>121</v>
      </c>
      <c r="F60" s="104" t="s">
        <v>284</v>
      </c>
      <c r="G60" s="103" t="s">
        <v>123</v>
      </c>
      <c r="H60" s="105" t="s">
        <v>19</v>
      </c>
      <c r="I60" s="106" t="s">
        <v>285</v>
      </c>
      <c r="J60" s="42" t="str">
        <f>IFERROR(__xludf.DUMMYFUNCTION("GOOGLETRANSLATE(I60,""en"",""pl"")"),"Kamera kopułkowa zewnętrzna z wieloma czujnikami, panoramiczna, seria P, 4 czujniki x 5 MP, łączenie obrazów panoramicznych 192º, WiseIR 20 m, 15 MP @20 kl./s, obiektyw stałoogniskowy 4,3 mm, potrójny kodek H.265/H.264/MJPEG z WiseStream II, WDR 120 dB, a"&amp;"utomatyczny tryb dzień/noc (ICR), zaawansowana analiza wideo, detekcja ruchu, przekazywanie do PTZ, klasyfikacja dźwięku, mapa cieplna, LDC (korekcja zniekształceń obiektywu), wejście/wyjście audio, dwa gniazda na karty SD, PoE+, 12 V DC, IP66, IK10, NEMA"&amp;"4X")</f>
        <v>Kamera kopułkowa zewnętrzna z wieloma czujnikami, panoramiczna, seria P, 4 czujniki x 5 MP, łączenie obrazów panoramicznych 192º, WiseIR 20 m, 15 MP @20 kl./s, obiektyw stałoogniskowy 4,3 mm, potrójny kodek H.265/H.264/MJPEG z WiseStream II, WDR 120 dB, automatyczny tryb dzień/noc (ICR), zaawansowana analiza wideo, detekcja ruchu, przekazywanie do PTZ, klasyfikacja dźwięku, mapa cieplna, LDC (korekcja zniekształceń obiektywu), wejście/wyjście audio, dwa gniazda na karty SD, PoE+, 12 V DC, IP66, IK10, NEMA4X</v>
      </c>
      <c r="K60" s="100" t="s">
        <v>21</v>
      </c>
      <c r="L60" s="44">
        <v>2950.0</v>
      </c>
      <c r="M60" s="8"/>
      <c r="N60" s="45" t="s">
        <v>22</v>
      </c>
      <c r="O60" s="97"/>
      <c r="P60" s="36"/>
      <c r="Q60" s="35"/>
      <c r="R60" s="68"/>
      <c r="S60" s="68"/>
      <c r="T60" s="68"/>
      <c r="U60" s="35"/>
      <c r="V60" s="35"/>
      <c r="W60" s="35"/>
      <c r="X60" s="35"/>
      <c r="Y60" s="35"/>
      <c r="Z60" s="35"/>
      <c r="AA60" s="35"/>
      <c r="AB60" s="35"/>
      <c r="AC60" s="60"/>
      <c r="AD60" s="85"/>
      <c r="AE60" s="85"/>
      <c r="AF60" s="85"/>
      <c r="AG60" s="85"/>
      <c r="AH60" s="85"/>
      <c r="AI60" s="85"/>
      <c r="AJ60" s="85"/>
      <c r="AK60" s="85"/>
      <c r="AL60" s="85"/>
      <c r="AM60" s="85"/>
      <c r="AN60" s="85"/>
      <c r="AO60" s="85"/>
      <c r="AP60" s="85"/>
    </row>
    <row r="61" ht="97.5" customHeight="1">
      <c r="A61" s="29"/>
      <c r="B61" s="38" t="s">
        <v>118</v>
      </c>
      <c r="C61" s="99" t="s">
        <v>286</v>
      </c>
      <c r="D61" s="40" t="s">
        <v>287</v>
      </c>
      <c r="E61" s="40" t="s">
        <v>168</v>
      </c>
      <c r="F61" s="40" t="s">
        <v>160</v>
      </c>
      <c r="G61" s="39" t="s">
        <v>169</v>
      </c>
      <c r="H61" s="41" t="s">
        <v>170</v>
      </c>
      <c r="I61" s="42" t="s">
        <v>288</v>
      </c>
      <c r="J61" s="42" t="str">
        <f>IFERROR(__xludf.DUMMYFUNCTION("GOOGLETRANSLATE(I61,""en"",""pl"")"),"Seria X zasilana przez kamerę sieciową Wisenet 7 AI IR 12M typu rybie oko, 12 MP @30 kl./s, obiektyw stałoogniskowy 1,08 mm, proste ustawianie ostrości, potrójny kodek H.265/H.264/MJPEG z WiseStream II, strumieniowanie wielokrotne, ekstremalny WDR (120 dB"&amp;"), True Day &amp; Night (ICR), widoczna długość podczerwieni 10 m, cyberbezpieczeństwo następnego poziomu, bezlicencyjna wbudowana inteligentna analiza wideo, liczenie osób, mapa cieplna, zarządzanie kolejkami, przekazywanie, tryb VariableView, wbudowana kore"&amp;"kcja zniekształceń, cyfrowy PTZ, dwukierunkowy dźwięk, 2 gniazda microSD/SDHC/SDXC do 1 TB, IP66, IK10, NEMA 4X, PoE/12 V DC, złącze M12")</f>
        <v>Seria X zasilana przez kamerę sieciową Wisenet 7 AI IR 12M typu rybie oko, 12 MP @30 kl./s, obiektyw stałoogniskowy 1,08 mm, proste ustawianie ostrości, potrójny kodek H.265/H.264/MJPEG z WiseStream II, strumieniowanie wielokrotne, ekstremalny WDR (120 dB), True Day &amp; Night (ICR), widoczna długość podczerwieni 10 m, cyberbezpieczeństwo następnego poziomu, bezlicencyjna wbudowana inteligentna analiza wideo, liczenie osób, mapa cieplna, zarządzanie kolejkami, przekazywanie, tryb VariableView, wbudowana korekcja zniekształceń, cyfrowy PTZ, dwukierunkowy dźwięk, 2 gniazda microSD/SDHC/SDXC do 1 TB, IP66, IK10, NEMA 4X, PoE/12 V DC, złącze M12</v>
      </c>
      <c r="K61" s="43" t="s">
        <v>21</v>
      </c>
      <c r="L61" s="44">
        <v>1260.0</v>
      </c>
      <c r="M61" s="8"/>
      <c r="N61" s="45" t="s">
        <v>22</v>
      </c>
      <c r="O61" s="97"/>
      <c r="P61" s="36"/>
      <c r="Q61" s="35"/>
      <c r="R61" s="68"/>
      <c r="S61" s="68"/>
      <c r="T61" s="68"/>
      <c r="U61" s="35"/>
      <c r="V61" s="35"/>
      <c r="W61" s="35"/>
      <c r="X61" s="35"/>
      <c r="Y61" s="35"/>
      <c r="Z61" s="35"/>
      <c r="AA61" s="35"/>
      <c r="AB61" s="35"/>
      <c r="AC61" s="60"/>
      <c r="AD61" s="85"/>
      <c r="AE61" s="85"/>
      <c r="AF61" s="85"/>
      <c r="AG61" s="85"/>
      <c r="AH61" s="85"/>
      <c r="AI61" s="85"/>
      <c r="AJ61" s="85"/>
      <c r="AK61" s="85"/>
      <c r="AL61" s="85"/>
      <c r="AM61" s="85"/>
      <c r="AN61" s="85"/>
      <c r="AO61" s="85"/>
      <c r="AP61" s="85"/>
    </row>
    <row r="62" ht="84.75" customHeight="1">
      <c r="A62" s="29"/>
      <c r="B62" s="38" t="s">
        <v>118</v>
      </c>
      <c r="C62" s="39" t="s">
        <v>289</v>
      </c>
      <c r="D62" s="40" t="s">
        <v>287</v>
      </c>
      <c r="E62" s="40" t="s">
        <v>168</v>
      </c>
      <c r="F62" s="40" t="s">
        <v>160</v>
      </c>
      <c r="G62" s="40" t="s">
        <v>169</v>
      </c>
      <c r="H62" s="41" t="s">
        <v>170</v>
      </c>
      <c r="I62" s="110" t="s">
        <v>290</v>
      </c>
      <c r="J62" s="42" t="str">
        <f>IFERROR(__xludf.DUMMYFUNCTION("GOOGLETRANSLATE(I62,""en"",""pl"")"),"Seria X zasilana przez kamerę sieciową Wisenet 7 AI IR 12M typu rybie oko, 12 MP @30 kl./s, obiektyw stałoogniskowy 1,08 mm, proste ustawianie ostrości, potrójny kodek H.265/H.264/MJPEG z WiseStream II, strumieniowanie wielokrotne, ekstremalny WDR (120 dB"&amp;"), True Day &amp; Night (ICR), widoczna długość podczerwieni 10 m, cyberbezpieczeństwo następnego poziomu, bezlicencyjna wbudowana inteligentna analiza wideo, liczenie osób, mapa cieplna, zarządzanie kolejkami, przekazywanie, tryb VariableView, usuwanie zniek"&amp;"ształceń na pokładzie, cyfrowy PTZ, dwukierunkowy dźwięk, 2 gniazda microSD/SDHC/SDXC do 1 TB, IP66, IK10, NEMA 4X, PoE/12 V DC")</f>
        <v>Seria X zasilana przez kamerę sieciową Wisenet 7 AI IR 12M typu rybie oko, 12 MP @30 kl./s, obiektyw stałoogniskowy 1,08 mm, proste ustawianie ostrości, potrójny kodek H.265/H.264/MJPEG z WiseStream II, strumieniowanie wielokrotne, ekstremalny WDR (120 dB), True Day &amp; Night (ICR), widoczna długość podczerwieni 10 m, cyberbezpieczeństwo następnego poziomu, bezlicencyjna wbudowana inteligentna analiza wideo, liczenie osób, mapa cieplna, zarządzanie kolejkami, przekazywanie, tryb VariableView, usuwanie zniekształceń na pokładzie, cyfrowy PTZ, dwukierunkowy dźwięk, 2 gniazda microSD/SDHC/SDXC do 1 TB, IP66, IK10, NEMA 4X, PoE/12 V DC</v>
      </c>
      <c r="K62" s="43" t="s">
        <v>21</v>
      </c>
      <c r="L62" s="44">
        <v>1200.0</v>
      </c>
      <c r="M62" s="8"/>
      <c r="N62" s="45" t="s">
        <v>22</v>
      </c>
      <c r="O62" s="97"/>
      <c r="P62" s="36"/>
      <c r="Q62" s="35"/>
      <c r="R62" s="68"/>
      <c r="S62" s="68"/>
      <c r="T62" s="68"/>
      <c r="U62" s="35"/>
      <c r="V62" s="35"/>
      <c r="W62" s="35"/>
      <c r="X62" s="35"/>
      <c r="Y62" s="35"/>
      <c r="Z62" s="35"/>
      <c r="AA62" s="35"/>
      <c r="AB62" s="35"/>
      <c r="AC62" s="60"/>
      <c r="AD62" s="85"/>
      <c r="AE62" s="85"/>
      <c r="AF62" s="85"/>
      <c r="AG62" s="85"/>
      <c r="AH62" s="85"/>
      <c r="AI62" s="85"/>
      <c r="AJ62" s="85"/>
      <c r="AK62" s="85"/>
      <c r="AL62" s="85"/>
      <c r="AM62" s="85"/>
      <c r="AN62" s="85"/>
      <c r="AO62" s="85"/>
      <c r="AP62" s="85"/>
    </row>
    <row r="63" ht="85.5" customHeight="1">
      <c r="A63" s="29"/>
      <c r="B63" s="38" t="s">
        <v>118</v>
      </c>
      <c r="C63" s="39" t="s">
        <v>291</v>
      </c>
      <c r="D63" s="40" t="s">
        <v>292</v>
      </c>
      <c r="E63" s="40" t="s">
        <v>168</v>
      </c>
      <c r="F63" s="40" t="s">
        <v>160</v>
      </c>
      <c r="G63" s="40" t="s">
        <v>169</v>
      </c>
      <c r="H63" s="41" t="s">
        <v>170</v>
      </c>
      <c r="I63" s="110" t="s">
        <v>293</v>
      </c>
      <c r="J63" s="42" t="str">
        <f>IFERROR(__xludf.DUMMYFUNCTION("GOOGLETRANSLATE(I63,""en"",""pl"")"),"Seria X zasilana przez kamerę sieciową Wisenet 7 4K IR do użytku wewnątrz pomieszczeń, typu rybie oko, 12 MP @30 kl./s, obiektyw stałoogniskowy 1,08 mm, proste ustawianie ostrości, potrójny kodek H.265/H.264/MJPEG z WiseStream II, strumieniowanie wielokro"&amp;"tne, ekstremalny WDR (120 dB), True Day &amp; Night (ICR), widoczna długość podczerwieni 10 m, cyberbezpieczeństwo następnego poziomu, bezlicencyjna wbudowana inteligentna analiza wideo, liczenie osób, mapa cieplna, zarządzanie kolejkami, przekazywanie, tryb "&amp;"VariableView, wbudowana korekcja zniekształceń, cyfrowy PTZ, dwukierunkowy dźwięk, 2 gniazda microSD/SDHC/SDXC do 1 TB, IP66, IK10, NEMA 4X, PoE/12 V DC")</f>
        <v>Seria X zasilana przez kamerę sieciową Wisenet 7 4K IR do użytku wewnątrz pomieszczeń, typu rybie oko, 12 MP @30 kl./s, obiektyw stałoogniskowy 1,08 mm, proste ustawianie ostrości, potrójny kodek H.265/H.264/MJPEG z WiseStream II, strumieniowanie wielokrotne, ekstremalny WDR (120 dB), True Day &amp; Night (ICR), widoczna długość podczerwieni 10 m, cyberbezpieczeństwo następnego poziomu, bezlicencyjna wbudowana inteligentna analiza wideo, liczenie osób, mapa cieplna, zarządzanie kolejkami, przekazywanie, tryb VariableView, wbudowana korekcja zniekształceń, cyfrowy PTZ, dwukierunkowy dźwięk, 2 gniazda microSD/SDHC/SDXC do 1 TB, IP66, IK10, NEMA 4X, PoE/12 V DC</v>
      </c>
      <c r="K63" s="43" t="s">
        <v>21</v>
      </c>
      <c r="L63" s="44">
        <v>2150.0</v>
      </c>
      <c r="M63" s="8"/>
      <c r="N63" s="45" t="s">
        <v>22</v>
      </c>
      <c r="O63" s="97"/>
      <c r="P63" s="36"/>
      <c r="Q63" s="35"/>
      <c r="R63" s="68"/>
      <c r="S63" s="68"/>
      <c r="T63" s="68"/>
      <c r="U63" s="35"/>
      <c r="V63" s="35"/>
      <c r="W63" s="35"/>
      <c r="X63" s="35"/>
      <c r="Y63" s="35"/>
      <c r="Z63" s="35"/>
      <c r="AA63" s="35"/>
      <c r="AB63" s="35"/>
      <c r="AC63" s="85"/>
      <c r="AD63" s="85"/>
      <c r="AE63" s="85"/>
      <c r="AF63" s="85"/>
      <c r="AG63" s="85"/>
      <c r="AH63" s="85"/>
      <c r="AI63" s="85"/>
      <c r="AJ63" s="85"/>
      <c r="AK63" s="85"/>
      <c r="AL63" s="85"/>
      <c r="AM63" s="85"/>
      <c r="AN63" s="85"/>
      <c r="AO63" s="85"/>
      <c r="AP63" s="85"/>
    </row>
    <row r="64" ht="84.75" customHeight="1">
      <c r="A64" s="29"/>
      <c r="B64" s="38" t="s">
        <v>118</v>
      </c>
      <c r="C64" s="39" t="s">
        <v>294</v>
      </c>
      <c r="D64" s="40" t="s">
        <v>295</v>
      </c>
      <c r="E64" s="40" t="s">
        <v>121</v>
      </c>
      <c r="F64" s="40" t="s">
        <v>164</v>
      </c>
      <c r="G64" s="39" t="s">
        <v>123</v>
      </c>
      <c r="H64" s="41" t="s">
        <v>19</v>
      </c>
      <c r="I64" s="42" t="s">
        <v>296</v>
      </c>
      <c r="J64" s="42" t="str">
        <f>IFERROR(__xludf.DUMMYFUNCTION("GOOGLETRANSLATE(I64,""en"",""pl"")"),"Zewnętrzna kamera kopułkowa IR PTRZ z wieloma czujnikami serii P, z cyfrową stabilizacją obrazu, 4 czujniki x 2 MP, maks. 8 MP przy 60 kl./s, 4 obiektywy zmiennoogniskowe z napędem silnikowym 3,2 ~ 10 mm (3,1x), potrójny kodek H.265/H.264/MJPEG z WiseStre"&amp;"am II, strumieniowanie wielokrotne, WDR 120 dB, automatyczny tryb dzień/noc (ICR), widoczna długość podczerwieni 30 m, zaawansowana analiza wideo i klasyfikacja dźwięku, wykrywanie ruchu, widok korytarza, wykrywanie mgły, HLC, cyfrowa stabilizacja obrazu,"&amp;" 4 gniazda SD/SDHC/SDXC, IP66, IK10, NEMA4X, HPoE/12 V DC. Zawiera wtryskiwacz HPoE.")</f>
        <v>Zewnętrzna kamera kopułkowa IR PTRZ z wieloma czujnikami serii P, z cyfrową stabilizacją obrazu, 4 czujniki x 2 MP, maks. 8 MP przy 60 kl./s, 4 obiektywy zmiennoogniskowe z napędem silnikowym 3,2 ~ 10 mm (3,1x), potrójny kodek H.265/H.264/MJPEG z WiseStream II, strumieniowanie wielokrotne, WDR 120 dB, automatyczny tryb dzień/noc (ICR), widoczna długość podczerwieni 30 m, zaawansowana analiza wideo i klasyfikacja dźwięku, wykrywanie ruchu, widok korytarza, wykrywanie mgły, HLC, cyfrowa stabilizacja obrazu, 4 gniazda SD/SDHC/SDXC, IP66, IK10, NEMA4X, HPoE/12 V DC. Zawiera wtryskiwacz HPoE.</v>
      </c>
      <c r="K64" s="43" t="s">
        <v>21</v>
      </c>
      <c r="L64" s="44">
        <v>2397.0</v>
      </c>
      <c r="M64" s="8"/>
      <c r="N64" s="45" t="s">
        <v>22</v>
      </c>
      <c r="O64" s="97"/>
      <c r="P64" s="36"/>
      <c r="Q64" s="35"/>
      <c r="R64" s="111"/>
      <c r="S64" s="68"/>
      <c r="T64" s="112"/>
      <c r="U64" s="35"/>
      <c r="V64" s="35"/>
      <c r="W64" s="35"/>
      <c r="X64" s="35"/>
      <c r="Y64" s="35"/>
      <c r="Z64" s="35"/>
      <c r="AA64" s="35"/>
      <c r="AB64" s="35"/>
      <c r="AC64" s="85"/>
      <c r="AD64" s="85"/>
      <c r="AE64" s="85"/>
      <c r="AF64" s="85"/>
      <c r="AG64" s="85"/>
      <c r="AH64" s="85"/>
      <c r="AI64" s="85"/>
      <c r="AJ64" s="85"/>
      <c r="AK64" s="85"/>
      <c r="AL64" s="85"/>
      <c r="AM64" s="85"/>
      <c r="AN64" s="85"/>
      <c r="AO64" s="85"/>
      <c r="AP64" s="85"/>
    </row>
    <row r="65" ht="84.75" customHeight="1">
      <c r="A65" s="29"/>
      <c r="B65" s="38" t="s">
        <v>118</v>
      </c>
      <c r="C65" s="39" t="s">
        <v>297</v>
      </c>
      <c r="D65" s="40" t="s">
        <v>298</v>
      </c>
      <c r="E65" s="40" t="s">
        <v>121</v>
      </c>
      <c r="F65" s="40" t="s">
        <v>164</v>
      </c>
      <c r="G65" s="39" t="s">
        <v>123</v>
      </c>
      <c r="H65" s="41" t="s">
        <v>19</v>
      </c>
      <c r="I65" s="42" t="s">
        <v>299</v>
      </c>
      <c r="J65" s="42" t="str">
        <f>IFERROR(__xludf.DUMMYFUNCTION("GOOGLETRANSLATE(I65,""en"",""pl"")"),"Zewnętrzna kamera kopułkowa PTRZ z serii P, sieciowa, wieloczujnikowa, wielokierunkowa, z cyfrową stabilizacją obrazu, 4 przetworniki x 2 MP, maks. 8 MP przy 60 kl./s, 4 obiektywy zmiennoogniskowe 3 ~ 6 mm (2x), potrójny kodek H.265/H.264/MJPEG z technolo"&amp;"gią WiseStream II, strumieniowanie wielokrotne, WDR 120 dB, automatyczny tryb dzień/noc (ICR), zaawansowana analiza wideo, detekcja ruchu, widok korytarza, detekcja mgły, HLC, cyfrowa stabilizacja obrazu, 4 gniazda kart SD/SDHC/SDXC, IP66, IK10, NEMA4X, t"&amp;"ylko HPoE. UWAGA: Iniektor HPoE należy zakupić osobno, patrz SPO-6011.")</f>
        <v>Zewnętrzna kamera kopułkowa PTRZ z serii P, sieciowa, wieloczujnikowa, wielokierunkowa, z cyfrową stabilizacją obrazu, 4 przetworniki x 2 MP, maks. 8 MP przy 60 kl./s, 4 obiektywy zmiennoogniskowe 3 ~ 6 mm (2x), potrójny kodek H.265/H.264/MJPEG z technologią WiseStream II, strumieniowanie wielokrotne, WDR 120 dB, automatyczny tryb dzień/noc (ICR), zaawansowana analiza wideo, detekcja ruchu, widok korytarza, detekcja mgły, HLC, cyfrowa stabilizacja obrazu, 4 gniazda kart SD/SDHC/SDXC, IP66, IK10, NEMA4X, tylko HPoE. UWAGA: Iniektor HPoE należy zakupić osobno, patrz SPO-6011.</v>
      </c>
      <c r="K65" s="43" t="s">
        <v>21</v>
      </c>
      <c r="L65" s="44">
        <v>1954.0</v>
      </c>
      <c r="M65" s="8"/>
      <c r="N65" s="45" t="s">
        <v>22</v>
      </c>
      <c r="O65" s="97"/>
      <c r="P65" s="36"/>
      <c r="Q65" s="35"/>
      <c r="R65" s="68"/>
      <c r="S65" s="68"/>
      <c r="T65" s="68"/>
      <c r="U65" s="35"/>
      <c r="V65" s="35"/>
      <c r="W65" s="35"/>
      <c r="X65" s="35"/>
      <c r="Y65" s="35"/>
      <c r="Z65" s="35"/>
      <c r="AA65" s="35"/>
      <c r="AB65" s="35"/>
      <c r="AC65" s="85"/>
      <c r="AD65" s="85"/>
      <c r="AE65" s="85"/>
      <c r="AF65" s="85"/>
      <c r="AG65" s="85"/>
      <c r="AH65" s="85"/>
      <c r="AI65" s="85"/>
      <c r="AJ65" s="85"/>
      <c r="AK65" s="85"/>
      <c r="AL65" s="85"/>
      <c r="AM65" s="85"/>
      <c r="AN65" s="85"/>
      <c r="AO65" s="85"/>
      <c r="AP65" s="85"/>
    </row>
    <row r="66" ht="99.75" customHeight="1">
      <c r="A66" s="29"/>
      <c r="B66" s="38" t="s">
        <v>118</v>
      </c>
      <c r="C66" s="39" t="s">
        <v>300</v>
      </c>
      <c r="D66" s="40" t="s">
        <v>301</v>
      </c>
      <c r="E66" s="40" t="s">
        <v>121</v>
      </c>
      <c r="F66" s="40" t="s">
        <v>160</v>
      </c>
      <c r="G66" s="39" t="s">
        <v>123</v>
      </c>
      <c r="H66" s="41" t="s">
        <v>19</v>
      </c>
      <c r="I66" s="48" t="s">
        <v>302</v>
      </c>
      <c r="J66" s="42" t="str">
        <f>IFERROR(__xludf.DUMMYFUNCTION("GOOGLETRANSLATE(I66,""en"",""pl"")"),"Sieciowa, wielokierunkowa kamera kopułkowa zewnętrzna z podwójnym czujnikiem, seria P, 2 x 6 MP@15 kl./s, 360 stopni, 25 m podczerwieni, obiektywy zmiennoogniskowe z napędem silnikowym 3,54–6,69 mm, WiseNR, WiseStream II, ExtremeWDR (150 dB), funkcja usuw"&amp;"ania mgły, widok korytarza, analityka: wirtualna linia (przekroczenie/kierunek), wirtualny obszar (bezładne zachowanie/wejście/wyjście), detekcja ruchu, detekcja rozmycia ostrości, manipulacja, gniazdo karty SD do 512 GB, PoE+, zabezpieczenie domyślne, TP"&amp;"M 2.0 (FIPS 140-2), IP66, NEMA4X, IK10. Kompatybilna z modułem wejścia/wyjścia IP SPM-4210 do podłączania alarmów/urządzeń audio oraz obsługi detekcji dźwięku i analizy klasyfikacji dźwięku w kamerze.")</f>
        <v>Sieciowa, wielokierunkowa kamera kopułkowa zewnętrzna z podwójnym czujnikiem, seria P, 2 x 6 MP@15 kl./s, 360 stopni, 25 m podczerwieni, obiektywy zmiennoogniskowe z napędem silnikowym 3,54–6,69 mm, WiseNR, WiseStream II, ExtremeWDR (150 dB), funkcja usuwania mgły, widok korytarza, analityka: wirtualna linia (przekroczenie/kierunek), wirtualny obszar (bezładne zachowanie/wejście/wyjście), detekcja ruchu, detekcja rozmycia ostrości, manipulacja, gniazdo karty SD do 512 GB, PoE+, zabezpieczenie domyślne, TPM 2.0 (FIPS 140-2), IP66, NEMA4X, IK10. Kompatybilna z modułem wejścia/wyjścia IP SPM-4210 do podłączania alarmów/urządzeń audio oraz obsługi detekcji dźwięku i analizy klasyfikacji dźwięku w kamerze.</v>
      </c>
      <c r="K66" s="43" t="s">
        <v>21</v>
      </c>
      <c r="L66" s="44">
        <v>1560.0</v>
      </c>
      <c r="M66" s="8"/>
      <c r="N66" s="45" t="s">
        <v>22</v>
      </c>
      <c r="O66" s="97"/>
      <c r="P66" s="36"/>
      <c r="Q66" s="35"/>
      <c r="R66" s="68"/>
      <c r="S66" s="68"/>
      <c r="T66" s="35"/>
      <c r="U66" s="35"/>
      <c r="V66" s="35"/>
      <c r="W66" s="35"/>
      <c r="X66" s="35"/>
      <c r="Y66" s="35"/>
      <c r="Z66" s="35"/>
      <c r="AA66" s="35"/>
      <c r="AB66" s="35"/>
      <c r="AC66" s="85"/>
      <c r="AD66" s="85"/>
      <c r="AE66" s="85"/>
      <c r="AF66" s="85"/>
      <c r="AG66" s="85"/>
      <c r="AH66" s="85"/>
      <c r="AI66" s="85"/>
      <c r="AJ66" s="85"/>
      <c r="AK66" s="85"/>
      <c r="AL66" s="85"/>
      <c r="AM66" s="85"/>
      <c r="AN66" s="85"/>
      <c r="AO66" s="85"/>
      <c r="AP66" s="85"/>
    </row>
    <row r="67" ht="99.0" customHeight="1">
      <c r="A67" s="29"/>
      <c r="B67" s="38" t="s">
        <v>118</v>
      </c>
      <c r="C67" s="39" t="s">
        <v>303</v>
      </c>
      <c r="D67" s="40" t="s">
        <v>304</v>
      </c>
      <c r="E67" s="40" t="s">
        <v>168</v>
      </c>
      <c r="F67" s="40" t="s">
        <v>164</v>
      </c>
      <c r="G67" s="39" t="s">
        <v>18</v>
      </c>
      <c r="H67" s="41" t="s">
        <v>19</v>
      </c>
      <c r="I67" s="42" t="s">
        <v>305</v>
      </c>
      <c r="J67" s="42" t="str">
        <f>IFERROR(__xludf.DUMMYFUNCTION("GOOGLETRANSLATE(I67,""en"",""pl"")"),"Seria X zasilana przez zewnętrzną kamerę wandaloodporną typu bullet z siecią Wisenet 7, 8 MP @30fps, obiektyw zmiennoogniskowy 2,8~8,4 mm (3x), potrójny kodek H.265/H.264/MJPEG z WiseStream II, strumieniowanie wielokrotne, ekstremalny WDR (120 dB), automa"&amp;"tyczny tryb dzień/noc (ICR), widoczna długość podczerwieni 40 m, cyberbezpieczeństwo następnego poziomu, bezpłatna wbudowana zaawansowana analiza wideo i analiza biznesowa, klasyfikacja dźwięku, wykrywanie wstrząsów, odtwarzanie dźwięku, widok z korytarza"&amp;", wykrywanie ruchu, wykrywanie mgły, wykrywanie twarzy/górnej części ciała, cyfrowa stabilizacja obrazu z wbudowanym czujnikiem żyroskopowym, dwukierunkowy dźwięk i dwa gniazda microSD/SDHC/SDXC, IP66/IP67, IK10, NEMA4X, PoE/12 V DC/24 V AC")</f>
        <v>Seria X zasilana przez zewnętrzną kamerę wandaloodporną typu bullet z siecią Wisenet 7, 8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z korytarza, wykrywanie ruchu, wykrywanie mgły, wykrywanie twarzy/górnej części ciała, cyfrowa stabilizacja obrazu z wbudowanym czujnikiem żyroskopowym, dwukierunkowy dźwięk i dwa gniazda microSD/SDHC/SDXC, IP66/IP67, IK10, NEMA4X, PoE/12 V DC/24 V AC</v>
      </c>
      <c r="K67" s="43" t="s">
        <v>21</v>
      </c>
      <c r="L67" s="44">
        <v>1750.0</v>
      </c>
      <c r="M67" s="8"/>
      <c r="N67" s="45" t="s">
        <v>22</v>
      </c>
      <c r="O67" s="97"/>
      <c r="P67" s="36"/>
      <c r="Q67" s="35"/>
      <c r="R67" s="68"/>
      <c r="S67" s="68"/>
      <c r="T67" s="68"/>
      <c r="U67" s="35"/>
      <c r="V67" s="35"/>
      <c r="W67" s="35"/>
      <c r="X67" s="35"/>
      <c r="Y67" s="35"/>
      <c r="Z67" s="35"/>
      <c r="AA67" s="35"/>
      <c r="AB67" s="35"/>
      <c r="AC67" s="60"/>
      <c r="AD67" s="85"/>
      <c r="AE67" s="85"/>
      <c r="AF67" s="85"/>
      <c r="AG67" s="85"/>
      <c r="AH67" s="85"/>
      <c r="AI67" s="85"/>
      <c r="AJ67" s="85"/>
      <c r="AK67" s="85"/>
      <c r="AL67" s="85"/>
      <c r="AM67" s="85"/>
      <c r="AN67" s="85"/>
      <c r="AO67" s="85"/>
      <c r="AP67" s="85"/>
    </row>
    <row r="68" ht="103.5" customHeight="1">
      <c r="A68" s="29"/>
      <c r="B68" s="38" t="s">
        <v>118</v>
      </c>
      <c r="C68" s="39" t="s">
        <v>306</v>
      </c>
      <c r="D68" s="40" t="s">
        <v>307</v>
      </c>
      <c r="E68" s="40" t="s">
        <v>168</v>
      </c>
      <c r="F68" s="40" t="s">
        <v>164</v>
      </c>
      <c r="G68" s="39" t="s">
        <v>184</v>
      </c>
      <c r="H68" s="41" t="s">
        <v>19</v>
      </c>
      <c r="I68" s="42" t="s">
        <v>308</v>
      </c>
      <c r="J68" s="42" t="str">
        <f>IFERROR(__xludf.DUMMYFUNCTION("GOOGLETRANSLATE(I68,""en"",""pl"")"),"Seria X zasilana przez zewnętrzną kamerę kopułkową Wisenet 7, modułowa konstrukcja X PLUS, 8 MP @30fps, obiektyw zmiennoogniskowy 2,8~8,4 mm (3x), potrójny kodek H.265/H.264/MJPEG z WiseStream II, strumieniowanie wielokrotne, ekstremalny WDR (120 dB), aut"&amp;"omatyczny tryb dzień/noc (ICR), widoczna długość podczerwieni 40 m, cyberbezpieczeństwo następnego poziomu, bezpłatna wbudowana zaawansowana analiza wideo i analiza biznesowa, klasyfikacja dźwięku, wykrywanie wstrząsów, odtwarzanie dźwięku, widok korytarz"&amp;"a, wykrywanie ruchu, wykrywanie mgły, wykrywanie twarzy/górnej części ciała, cyfrowa stabilizacja obrazu z wbudowanym czujnikiem żyroskopowym, dwukierunkowy dźwięk i podwójne gniazdo microSD/SDHC/SDXC, IP66/IP67/IP6K9K, IK10+, NEMA4X, PoE/12 V DC")</f>
        <v>Seria X zasilana przez zewnętrzną kamerę kopułkową Wisenet 7, modułowa konstrukcja X PLUS, 8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podwójne gniazdo microSD/SDHC/SDXC, IP66/IP67/IP6K9K, IK10+, NEMA4X, PoE/12 V DC</v>
      </c>
      <c r="K68" s="43" t="s">
        <v>21</v>
      </c>
      <c r="L68" s="44">
        <v>1750.0</v>
      </c>
      <c r="M68" s="8"/>
      <c r="N68" s="45" t="s">
        <v>22</v>
      </c>
      <c r="O68" s="97"/>
      <c r="P68" s="36"/>
      <c r="Q68" s="35"/>
      <c r="R68" s="68"/>
      <c r="S68" s="68"/>
      <c r="T68" s="68"/>
      <c r="U68" s="35"/>
      <c r="V68" s="35"/>
      <c r="W68" s="35"/>
      <c r="X68" s="35"/>
      <c r="Y68" s="35"/>
      <c r="Z68" s="35"/>
      <c r="AA68" s="35"/>
      <c r="AB68" s="35"/>
      <c r="AC68" s="60"/>
      <c r="AD68" s="85"/>
      <c r="AE68" s="85"/>
      <c r="AF68" s="85"/>
      <c r="AG68" s="85"/>
      <c r="AH68" s="85"/>
      <c r="AI68" s="85"/>
      <c r="AJ68" s="85"/>
      <c r="AK68" s="85"/>
      <c r="AL68" s="85"/>
      <c r="AM68" s="85"/>
      <c r="AN68" s="85"/>
      <c r="AO68" s="85"/>
      <c r="AP68" s="85"/>
    </row>
    <row r="69" ht="120.0" customHeight="1">
      <c r="A69" s="29"/>
      <c r="B69" s="38" t="s">
        <v>118</v>
      </c>
      <c r="C69" s="99" t="s">
        <v>309</v>
      </c>
      <c r="D69" s="40" t="s">
        <v>310</v>
      </c>
      <c r="E69" s="40" t="s">
        <v>168</v>
      </c>
      <c r="F69" s="40" t="s">
        <v>164</v>
      </c>
      <c r="G69" s="39" t="s">
        <v>192</v>
      </c>
      <c r="H69" s="41" t="s">
        <v>19</v>
      </c>
      <c r="I69" s="42" t="s">
        <v>311</v>
      </c>
      <c r="J69" s="42" t="str">
        <f>IFERROR(__xludf.DUMMYFUNCTION("GOOGLETRANSLATE(I69,""en"",""pl"")"),"Seria X zasilana przez kamerę kopułkową do montażu wpuszczanego w pomieszczeniach Wisenet 7, modułowa konstrukcja X PLUS, 8 MP @30 kl./s, obiektyw zmiennoogniskowy 2,8~8,4 mm z napędem silnikowym (3x), potrójny kodek H.265/H.264/MJPEG z WiseStream II, str"&amp;"umieniowanie wielokrotne, ekstremalny WDR (120 dB), automatyczny tryb dzień/noc (ICR), widoczna długość podczerwieni 40 m, cyberbezpieczeństwo następnego poziomu, bezpłatna wbudowana zaawansowana analiza wideo i analiza biznesowa, klasyfikacja dźwięku, wy"&amp;"krywanie wstrząsów, odtwarzanie dźwięku, widok korytarza, wykrywanie ruchu, wykrywanie mgły, wykrywanie twarzy/górnej części ciała, cyfrowa stabilizacja obrazu z wbudowanym czujnikiem żyroskopowym, dwukierunkowy dźwięk i dwa gniazda microSD/SDHC/SDXC, IP5"&amp;"2, IK10, współczynnik plenum, PoE/12 V DC")</f>
        <v>Seria X zasilana przez kamerę kopułkową do montażu wpuszczanego w pomieszczeniach Wisenet 7, modułowa konstrukcja X PLUS, 8 MP @30 kl./s, obiektyw zmiennoogniskowy 2,8~8,4 mm z napędem silnikowym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dwa gniazda microSD/SDHC/SDXC, IP52, IK10, współczynnik plenum, PoE/12 V DC</v>
      </c>
      <c r="K69" s="43" t="s">
        <v>21</v>
      </c>
      <c r="L69" s="44">
        <v>1500.0</v>
      </c>
      <c r="M69" s="8"/>
      <c r="N69" s="45" t="s">
        <v>22</v>
      </c>
      <c r="O69" s="97"/>
      <c r="P69" s="36"/>
      <c r="Q69" s="35"/>
      <c r="R69" s="68"/>
      <c r="S69" s="68"/>
      <c r="T69" s="68"/>
      <c r="U69" s="35"/>
      <c r="V69" s="35"/>
      <c r="W69" s="35"/>
      <c r="X69" s="35"/>
      <c r="Y69" s="35"/>
      <c r="Z69" s="35"/>
      <c r="AA69" s="35"/>
      <c r="AB69" s="35"/>
      <c r="AC69" s="60"/>
      <c r="AD69" s="85"/>
      <c r="AE69" s="85"/>
      <c r="AF69" s="85"/>
      <c r="AG69" s="85"/>
      <c r="AH69" s="85"/>
      <c r="AI69" s="85"/>
      <c r="AJ69" s="85"/>
      <c r="AK69" s="85"/>
      <c r="AL69" s="85"/>
      <c r="AM69" s="85"/>
      <c r="AN69" s="85"/>
      <c r="AO69" s="85"/>
      <c r="AP69" s="85"/>
    </row>
    <row r="70" ht="120.0" customHeight="1">
      <c r="A70" s="29"/>
      <c r="B70" s="38" t="s">
        <v>118</v>
      </c>
      <c r="C70" s="99" t="s">
        <v>312</v>
      </c>
      <c r="D70" s="40" t="s">
        <v>313</v>
      </c>
      <c r="E70" s="40" t="s">
        <v>168</v>
      </c>
      <c r="F70" s="40" t="s">
        <v>164</v>
      </c>
      <c r="G70" s="39" t="s">
        <v>192</v>
      </c>
      <c r="H70" s="41" t="s">
        <v>19</v>
      </c>
      <c r="I70" s="42" t="s">
        <v>314</v>
      </c>
      <c r="J70" s="42" t="str">
        <f>IFERROR(__xludf.DUMMYFUNCTION("GOOGLETRANSLATE(I70,""en"",""pl"")"),"Seria X zasilana przez kopułkową kamerę wewnętrzną Wisenet 7, modułowa konstrukcja X PLUS, 8 MP @30fps, obiektyw zmiennoogniskowy 2,8~8,4 mm (3x), potrójny kodek H.265/H.264/MJPEG z WiseStream II, strumieniowanie wielokrotne, ekstremalny WDR (120 dB), aut"&amp;"omatyczny tryb dzień/noc (ICR), widoczna długość podczerwieni 40 m, cyberbezpieczeństwo następnego poziomu, bezpłatna wbudowana zaawansowana analiza wideo i analiza biznesowa, klasyfikacja dźwięku, wykrywanie wstrząsów, odtwarzanie dźwięku, widok korytarz"&amp;"a, wykrywanie ruchu, wykrywanie mgły, wykrywanie twarzy/górnej części ciała, cyfrowa stabilizacja obrazu z wbudowanym czujnikiem żyroskopowym, dwukierunkowy dźwięk i podwójne gniazdo microSD/SDHC/SDXC, IP52, IK10, PoE/12 V DC")</f>
        <v>Seria X zasilana przez kopułkową kamerę wewnętrzną Wisenet 7, modułowa konstrukcja X PLUS, 8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podwójne gniazdo microSD/SDHC/SDXC, IP52, IK10, PoE/12 V DC</v>
      </c>
      <c r="K70" s="43" t="s">
        <v>21</v>
      </c>
      <c r="L70" s="44">
        <v>1500.0</v>
      </c>
      <c r="M70" s="8"/>
      <c r="N70" s="45" t="s">
        <v>22</v>
      </c>
      <c r="O70" s="97"/>
      <c r="P70" s="36"/>
      <c r="Q70" s="35"/>
      <c r="R70" s="68"/>
      <c r="S70" s="68"/>
      <c r="T70" s="68"/>
      <c r="U70" s="35"/>
      <c r="V70" s="35"/>
      <c r="W70" s="35"/>
      <c r="X70" s="35"/>
      <c r="Y70" s="35"/>
      <c r="Z70" s="35"/>
      <c r="AA70" s="35"/>
      <c r="AB70" s="35"/>
      <c r="AC70" s="60"/>
      <c r="AD70" s="85"/>
      <c r="AE70" s="85"/>
      <c r="AF70" s="85"/>
      <c r="AG70" s="85"/>
      <c r="AH70" s="85"/>
      <c r="AI70" s="85"/>
      <c r="AJ70" s="85"/>
      <c r="AK70" s="85"/>
      <c r="AL70" s="85"/>
      <c r="AM70" s="85"/>
      <c r="AN70" s="85"/>
      <c r="AO70" s="85"/>
      <c r="AP70" s="85"/>
    </row>
    <row r="71" ht="84.75" customHeight="1">
      <c r="A71" s="29"/>
      <c r="B71" s="38" t="s">
        <v>118</v>
      </c>
      <c r="C71" s="39" t="s">
        <v>315</v>
      </c>
      <c r="D71" s="40" t="s">
        <v>316</v>
      </c>
      <c r="E71" s="40" t="s">
        <v>168</v>
      </c>
      <c r="F71" s="40" t="s">
        <v>164</v>
      </c>
      <c r="G71" s="39" t="s">
        <v>131</v>
      </c>
      <c r="H71" s="41" t="s">
        <v>317</v>
      </c>
      <c r="I71" s="42" t="s">
        <v>318</v>
      </c>
      <c r="J71" s="42" t="str">
        <f>IFERROR(__xludf.DUMMYFUNCTION("GOOGLETRANSLATE(I71,""en"",""pl"")"),"Seria X zasilana przez kamerę sieciową Wisenet 7, 8 MP @30fps, potrójny kodek H.265/H.264/MJPEG z WiseStream II, strumieniowanie wielokrotne, extremeWDR, automatyczny tryb dzień/noc (ICR), cyberbezpieczeństwo na następnym poziomie, bezpłatna wbudowana zaa"&amp;"wansowana analiza wideo i analiza biznesowa, klasyfikacja dźwięku, wykrywanie wstrząsów, odtwarzanie dźwięku, widok korytarza, wykrywanie ruchu, wykrywanie mgły, wykrywanie twarzy/górnej części ciała, cyfrowa stabilizacja obrazu z wbudowanym czujnikiem ży"&amp;"roskopowym, dwukierunkowy dźwięk i dwa gniazda microSD/SDHC/SDXC, PoE/12 V DC/24 V AC ※ Obiektyw nie jest dołączony")</f>
        <v>Seria X zasilana przez kamerę sieciową Wisenet 7, 8 MP @30fps, potrójny kodek H.265/H.264/MJPEG z WiseStream II, strumieniowanie wielokrotne, extremeWDR, automatyczny tryb dzień/noc (ICR), cyberbezpieczeństwo na następnym poziomie,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dwa gniazda microSD/SDHC/SDXC, PoE/12 V DC/24 V AC ※ Obiektyw nie jest dołączony</v>
      </c>
      <c r="K71" s="43" t="s">
        <v>21</v>
      </c>
      <c r="L71" s="44">
        <v>1000.0</v>
      </c>
      <c r="M71" s="8"/>
      <c r="N71" s="45" t="s">
        <v>22</v>
      </c>
      <c r="O71" s="97"/>
      <c r="P71" s="36"/>
      <c r="Q71" s="35"/>
      <c r="R71" s="68"/>
      <c r="S71" s="68"/>
      <c r="T71" s="68"/>
      <c r="U71" s="35"/>
      <c r="V71" s="35"/>
      <c r="W71" s="35"/>
      <c r="X71" s="35"/>
      <c r="Y71" s="35"/>
      <c r="Z71" s="35"/>
      <c r="AA71" s="35"/>
      <c r="AB71" s="35"/>
      <c r="AC71" s="60"/>
      <c r="AD71" s="85"/>
      <c r="AE71" s="85"/>
      <c r="AF71" s="85"/>
      <c r="AG71" s="85"/>
      <c r="AH71" s="85"/>
      <c r="AI71" s="85"/>
      <c r="AJ71" s="85"/>
      <c r="AK71" s="85"/>
      <c r="AL71" s="85"/>
      <c r="AM71" s="85"/>
      <c r="AN71" s="85"/>
      <c r="AO71" s="85"/>
      <c r="AP71" s="85"/>
    </row>
    <row r="72" ht="120.0" customHeight="1">
      <c r="A72" s="29"/>
      <c r="B72" s="38" t="s">
        <v>118</v>
      </c>
      <c r="C72" s="99" t="s">
        <v>319</v>
      </c>
      <c r="D72" s="40" t="s">
        <v>320</v>
      </c>
      <c r="E72" s="40" t="s">
        <v>168</v>
      </c>
      <c r="F72" s="40" t="s">
        <v>164</v>
      </c>
      <c r="G72" s="39" t="s">
        <v>213</v>
      </c>
      <c r="H72" s="41" t="s">
        <v>321</v>
      </c>
      <c r="I72" s="42" t="s">
        <v>322</v>
      </c>
      <c r="J72" s="42" t="str">
        <f>IFERROR(__xludf.DUMMYFUNCTION("GOOGLETRANSLATE(I72,""en"",""pl"")"),"Seria X zasilana przez zewnętrzną kamerę PTZ z siecią Wisenet 7 IR ze wbudowaną wycieraczką, 8 MP @30fps, obiektyw z 30-krotnym zoomem optycznym (5 ~ 150 mm) (57,42º ~ 2,19º), zakres obrotu 360° bez ograniczeń, prędkość obrotu 500°/sek., pochylenie: -20° "&amp;"~ 90°, potrójny kodek H.265/H.264/MJPEG z WiseStream II, strumieniowanie wielokrotne, ekstremalny WDR (120 dB), True Day &amp; Night (ICR), widoczna długość podczerwieni 200 m, inteligentna analiza wideo, wykrywanie ruchu, wykrywanie mgły, manipulacja, automa"&amp;"tyczne śledzenie obiektów (osoby/pojazdu), śledzenie blokady celu, cyfrowa stabilizacja obrazu z wbudowanym czujnikiem żyroskopowym, 2 gniazda Micro SD/SDHC/SDXC do 1 TB, IP66, IK10, NEMA4X, HPoE
* Wyjścia alarmowe, detekcja dźwięku, klasyfikacja dźwięku "&amp;"(z modułem NW I/O Box, który można kupić osobno)")</f>
        <v>Seria X zasilana przez zewnętrzną kamerę PTZ z siecią Wisenet 7 IR ze wbudowaną wycieraczką, 8 MP @30fps, obiektyw z 30-krotnym zoomem optycznym (5 ~ 150 mm) (57,42º ~ 2,19º), zakres obrotu 360° bez ograniczeń, prędkość obrotu 500°/sek., pochylenie: -20° ~ 90°, potrójny kodek H.265/H.264/MJPEG z WiseStream II, strumieniowanie wielokrotne, ekstremalny WDR (120 dB), True Day &amp; Night (ICR), widoczna długość podczerwieni 200 m, inteligentna analiza wideo, wykrywanie ruchu, wykrywanie mgły, manipulacja, automatyczne śledzenie obiektów (osoby/pojazdu), śledzenie blokady celu, cyfrowa stabilizacja obrazu z wbudowanym czujnikiem żyroskopowym, 2 gniazda Micro SD/SDHC/SDXC do 1 TB, IP66, IK10, NEMA4X, HPoE
* Wyjścia alarmowe, detekcja dźwięku, klasyfikacja dźwięku (z modułem NW I/O Box, który można kupić osobno)</v>
      </c>
      <c r="K72" s="43" t="s">
        <v>21</v>
      </c>
      <c r="L72" s="44">
        <v>5010.0</v>
      </c>
      <c r="M72" s="8"/>
      <c r="N72" s="45" t="s">
        <v>22</v>
      </c>
      <c r="O72" s="97"/>
      <c r="P72" s="36"/>
      <c r="Q72" s="35"/>
      <c r="R72" s="68"/>
      <c r="S72" s="68"/>
      <c r="T72" s="68"/>
      <c r="U72" s="35"/>
      <c r="V72" s="35"/>
      <c r="W72" s="35"/>
      <c r="X72" s="35"/>
      <c r="Y72" s="35"/>
      <c r="Z72" s="35"/>
      <c r="AA72" s="35"/>
      <c r="AB72" s="35"/>
      <c r="AC72" s="60"/>
      <c r="AD72" s="85"/>
      <c r="AE72" s="85"/>
      <c r="AF72" s="85"/>
      <c r="AG72" s="85"/>
      <c r="AH72" s="85"/>
      <c r="AI72" s="85"/>
      <c r="AJ72" s="85"/>
      <c r="AK72" s="85"/>
      <c r="AL72" s="85"/>
      <c r="AM72" s="85"/>
      <c r="AN72" s="85"/>
      <c r="AO72" s="85"/>
      <c r="AP72" s="85"/>
    </row>
    <row r="73" ht="120.0" customHeight="1">
      <c r="A73" s="29"/>
      <c r="B73" s="38" t="s">
        <v>118</v>
      </c>
      <c r="C73" s="99" t="s">
        <v>323</v>
      </c>
      <c r="D73" s="40" t="s">
        <v>324</v>
      </c>
      <c r="E73" s="40" t="s">
        <v>168</v>
      </c>
      <c r="F73" s="40" t="s">
        <v>164</v>
      </c>
      <c r="G73" s="39" t="s">
        <v>213</v>
      </c>
      <c r="H73" s="41" t="s">
        <v>325</v>
      </c>
      <c r="I73" s="42" t="s">
        <v>326</v>
      </c>
      <c r="J73" s="42" t="str">
        <f>IFERROR(__xludf.DUMMYFUNCTION("GOOGLETRANSLATE(I73,""en"",""pl"")"),"Seria X z zewnętrzną kamerą sieciową PTZ Wisenet 7, 8 MP @30 kl./s, obiektyw z 25-krotnym zoomem optycznym (5 ~ 125 mm) (57,42º ~ 2,71º), nieograniczony zakres obrotu 360°, prędkość obrotu 700°/s, pochylenie: -20° ~ 90°, potrójny kodek H.265/H.264/MJPEG z"&amp;" WiseStream II, strumieniowanie wielokrotne, ekstremalny WDR (120 dB), True Day &amp; Night (ICR), inteligentna analiza wideo, detekcja ruchu, detekcja mgły, wykrywanie manipulacji, automatyczne śledzenie obiektów (osoby/pojazdu), śledzenie celu, cyfrowa stab"&amp;"ilizacja obrazu z wbudowanym żyroskopem, 2 gniazda Micro SD/SDHC/SDXC do 1 TB, IP66, IK10, NEMA4X, NEMA-TS2, HPoE
* Wyjścia alarmowe, detekcja dźwięku, dźwięk klasyfikacja (z modułem NW I/O Box, który można kupić osobno)")</f>
        <v>Seria X z zewnętrzną kamerą sieciową PTZ Wisenet 7, 8 MP @30 kl./s, obiektyw z 25-krotnym zoomem optycznym (5 ~ 125 mm) (57,42º ~ 2,71º), nieograniczony zakres obrotu 360°, prędkość obrotu 700°/s, pochylenie: -20° ~ 90°, potrójny kodek H.265/H.264/MJPEG z WiseStream II, strumieniowanie wielokrotne, ekstremalny WDR (120 dB), True Day &amp; Night (ICR), inteligentna analiza wideo, detekcja ruchu, detekcja mgły, wykrywanie manipulacji, automatyczne śledzenie obiektów (osoby/pojazdu), śledzenie celu, cyfrowa stabilizacja obrazu z wbudowanym żyroskopem, 2 gniazda Micro SD/SDHC/SDXC do 1 TB, IP66, IK10, NEMA4X, NEMA-TS2, HPoE
* Wyjścia alarmowe, detekcja dźwięku, dźwięk klasyfikacja (z modułem NW I/O Box, który można kupić osobno)</v>
      </c>
      <c r="K73" s="43" t="s">
        <v>21</v>
      </c>
      <c r="L73" s="44">
        <v>4430.0</v>
      </c>
      <c r="M73" s="8"/>
      <c r="N73" s="45" t="s">
        <v>22</v>
      </c>
      <c r="O73" s="97"/>
      <c r="P73" s="36"/>
      <c r="Q73" s="35"/>
      <c r="R73" s="68"/>
      <c r="S73" s="68"/>
      <c r="T73" s="68"/>
      <c r="U73" s="35"/>
      <c r="V73" s="35"/>
      <c r="W73" s="35"/>
      <c r="X73" s="35"/>
      <c r="Y73" s="35"/>
      <c r="Z73" s="35"/>
      <c r="AA73" s="35"/>
      <c r="AB73" s="35"/>
      <c r="AC73" s="60"/>
      <c r="AD73" s="85"/>
      <c r="AE73" s="85"/>
      <c r="AF73" s="85"/>
      <c r="AG73" s="85"/>
      <c r="AH73" s="85"/>
      <c r="AI73" s="85"/>
      <c r="AJ73" s="85"/>
      <c r="AK73" s="85"/>
      <c r="AL73" s="85"/>
      <c r="AM73" s="85"/>
      <c r="AN73" s="85"/>
      <c r="AO73" s="85"/>
      <c r="AP73" s="85"/>
    </row>
    <row r="74" ht="84.75" customHeight="1">
      <c r="A74" s="29"/>
      <c r="B74" s="38" t="s">
        <v>118</v>
      </c>
      <c r="C74" s="39" t="s">
        <v>327</v>
      </c>
      <c r="D74" s="40" t="s">
        <v>328</v>
      </c>
      <c r="E74" s="40" t="s">
        <v>121</v>
      </c>
      <c r="F74" s="40" t="s">
        <v>164</v>
      </c>
      <c r="G74" s="39" t="s">
        <v>131</v>
      </c>
      <c r="H74" s="41" t="s">
        <v>170</v>
      </c>
      <c r="I74" s="42" t="s">
        <v>329</v>
      </c>
      <c r="J74" s="42" t="str">
        <f>IFERROR(__xludf.DUMMYFUNCTION("GOOGLETRANSLATE(I74,""en"",""pl"")"),"Seria P zasilana przez zdalną kamerę Wisenet 7, 4CHx 2MP @60fps, potrójny kodek H.265/H.264/MJPEG z WiseStream II, strumieniowanie wielokrotne, WDR 120 dB, zaawansowana analiza wideo i klasyfikacja dźwięku oraz analiza biznesowa, wykrywanie ruchu, wykrywa"&amp;"nie mgły, HLC, przekazywanie, cyfrowa stabilizacja obrazu, dwukierunkowy dźwięk i gniazdo SD/SDHC/SDXC, port USB ułatwiający instalację, PoE/12VDC, kompatybilna z następującymi modułami obiektywów: SLA-T2480A, SLA-T2480VA, SLA-T4680A, SLA-T4680VA, SLA-T10"&amp;"80FA (brak w zestawie) ※ Obiektyw nie jest dołączony")</f>
        <v>Seria P zasilana przez zdalną kamerę Wisenet 7, 4CHx 2MP @60fps, potrójny kodek H.265/H.264/MJPEG z WiseStream II, strumieniowanie wielokrotne, WDR 120 dB, zaawansowana analiza wideo i klasyfikacja dźwięku oraz analiza biznesowa, wykrywanie ruchu, wykrywanie mgły, HLC, przekazywanie, cyfrowa stabilizacja obrazu, dwukierunkowy dźwięk i gniazdo SD/SDHC/SDXC, port USB ułatwiający instalację, PoE/12VDC, kompatybilna z następującymi modułami obiektywów: SLA-T2480A, SLA-T2480VA, SLA-T4680A, SLA-T4680VA, SLA-T1080FA (brak w zestawie) ※ Obiektyw nie jest dołączony</v>
      </c>
      <c r="K74" s="43" t="s">
        <v>21</v>
      </c>
      <c r="L74" s="44">
        <v>670.0</v>
      </c>
      <c r="M74" s="8"/>
      <c r="N74" s="45" t="s">
        <v>22</v>
      </c>
      <c r="O74" s="97"/>
      <c r="P74" s="36"/>
      <c r="Q74" s="35"/>
      <c r="R74" s="68"/>
      <c r="S74" s="68"/>
      <c r="T74" s="68"/>
      <c r="U74" s="35"/>
      <c r="V74" s="35"/>
      <c r="W74" s="35"/>
      <c r="X74" s="35"/>
      <c r="Y74" s="35"/>
      <c r="Z74" s="35"/>
      <c r="AA74" s="35"/>
      <c r="AB74" s="35"/>
      <c r="AC74" s="60"/>
      <c r="AD74" s="85"/>
      <c r="AE74" s="85"/>
      <c r="AF74" s="85"/>
      <c r="AG74" s="85"/>
      <c r="AH74" s="85"/>
      <c r="AI74" s="85"/>
      <c r="AJ74" s="85"/>
      <c r="AK74" s="85"/>
      <c r="AL74" s="85"/>
      <c r="AM74" s="85"/>
      <c r="AN74" s="85"/>
      <c r="AO74" s="85"/>
      <c r="AP74" s="85"/>
    </row>
    <row r="75" ht="84.75" customHeight="1">
      <c r="A75" s="29"/>
      <c r="B75" s="38" t="s">
        <v>118</v>
      </c>
      <c r="C75" s="40" t="s">
        <v>330</v>
      </c>
      <c r="D75" s="40" t="s">
        <v>331</v>
      </c>
      <c r="E75" s="40" t="s">
        <v>174</v>
      </c>
      <c r="F75" s="40" t="s">
        <v>160</v>
      </c>
      <c r="G75" s="40" t="s">
        <v>169</v>
      </c>
      <c r="H75" s="41" t="s">
        <v>19</v>
      </c>
      <c r="I75" s="48" t="s">
        <v>332</v>
      </c>
      <c r="J75" s="42" t="str">
        <f>IFERROR(__xludf.DUMMYFUNCTION("GOOGLETRANSLATE(I75,""en"",""pl"")"),"Kamera sieciowa typu rybie oko z serii Q do użytku wewnętrznego, przetwornik CMOS 12 MP, 3008 x 3008 przy 30 kl./s, obiektyw stałoogniskowy 1,08 mm (187°), potrójny kodek H.265/H.264/MJPEG z technologią WiseStream II, WDR 120 dB, rozmycie ostrości, wykryw"&amp;"anie ruchu, manipulacja, liczenie osób, mapa cieplna, gniazdo SD/SDHC/SDXC, HLC, PoE, IP42")</f>
        <v>Kamera sieciowa typu rybie oko z serii Q do użytku wewnętrznego, przetwornik CMOS 12 MP, 3008 x 3008 przy 30 kl./s, obiektyw stałoogniskowy 1,08 mm (187°), potrójny kodek H.265/H.264/MJPEG z technologią WiseStream II, WDR 120 dB, rozmycie ostrości, wykrywanie ruchu, manipulacja, liczenie osób, mapa cieplna, gniazdo SD/SDHC/SDXC, HLC, PoE, IP42</v>
      </c>
      <c r="K75" s="43" t="s">
        <v>21</v>
      </c>
      <c r="L75" s="44">
        <v>874.0</v>
      </c>
      <c r="M75" s="8"/>
      <c r="N75" s="45" t="s">
        <v>22</v>
      </c>
      <c r="O75" s="97"/>
      <c r="P75" s="36"/>
      <c r="Q75" s="35"/>
      <c r="R75" s="68"/>
      <c r="S75" s="68"/>
      <c r="T75" s="68"/>
      <c r="U75" s="35"/>
      <c r="V75" s="35"/>
      <c r="W75" s="35"/>
      <c r="X75" s="35"/>
      <c r="Y75" s="35"/>
      <c r="Z75" s="35"/>
      <c r="AA75" s="35"/>
      <c r="AB75" s="35"/>
      <c r="AC75" s="60"/>
      <c r="AD75" s="85"/>
      <c r="AE75" s="85"/>
      <c r="AF75" s="85"/>
      <c r="AG75" s="85"/>
      <c r="AH75" s="85"/>
      <c r="AI75" s="85"/>
      <c r="AJ75" s="85"/>
      <c r="AK75" s="85"/>
      <c r="AL75" s="85"/>
      <c r="AM75" s="85"/>
      <c r="AN75" s="85"/>
      <c r="AO75" s="85"/>
      <c r="AP75" s="85"/>
    </row>
    <row r="76" ht="84.75" customHeight="1">
      <c r="A76" s="29"/>
      <c r="B76" s="38" t="s">
        <v>118</v>
      </c>
      <c r="C76" s="99" t="s">
        <v>333</v>
      </c>
      <c r="D76" s="40" t="s">
        <v>334</v>
      </c>
      <c r="E76" s="40" t="s">
        <v>16</v>
      </c>
      <c r="F76" s="40" t="s">
        <v>160</v>
      </c>
      <c r="G76" s="39" t="s">
        <v>169</v>
      </c>
      <c r="H76" s="41" t="s">
        <v>335</v>
      </c>
      <c r="I76" s="21" t="s">
        <v>336</v>
      </c>
      <c r="J76" s="42" t="str">
        <f>IFERROR(__xludf.DUMMYFUNCTION("GOOGLETRANSLATE(I76,""en"",""pl"")"),"Seria T zasilana przez sieć Wisenet 7, czujnik 12 MP, kamera typu rybie oko — do prowadzenia po parkingu, 12 MP @30 kl./s, obiektyw stereograficzny, monitorowanie 360° z wbudowanym usuwaniem zniekształceń, potrójny kodek H.265/H.264/MJPEG z WiseStream II,"&amp;" strumieniowanie wielokrotne, ekstremalny WDR (120 dB), do 16 miejsc, różne kolory diod LED i tryb pojedynczy/podzielony, instalacje w kanałach centralnych/bocznych, wykrywanie parkowania oparte na sztucznej inteligencji, tryb VariableView, cyfrowy PTZ, w"&amp;"ykrywanie braku ostrości/dźwięku i manipulacji, gniazdo microSD/SDHC/SDXC 1 do 512 GB, PoE/12 V DC")</f>
        <v>Seria T zasilana przez sieć Wisenet 7, czujnik 12 MP, kamera typu rybie oko — do prowadzenia po parkingu, 12 MP @30 kl./s, obiektyw stereograficzny, monitorowanie 360° z wbudowanym usuwaniem zniekształceń, potrójny kodek H.265/H.264/MJPEG z WiseStream II, strumieniowanie wielokrotne, ekstremalny WDR (120 dB), do 16 miejsc, różne kolory diod LED i tryb pojedynczy/podzielony, instalacje w kanałach centralnych/bocznych, wykrywanie parkowania oparte na sztucznej inteligencji, tryb VariableView, cyfrowy PTZ, wykrywanie braku ostrości/dźwięku i manipulacji, gniazdo microSD/SDHC/SDXC 1 do 512 GB, PoE/12 V DC</v>
      </c>
      <c r="K76" s="100" t="s">
        <v>21</v>
      </c>
      <c r="L76" s="44">
        <v>1200.0</v>
      </c>
      <c r="M76" s="8"/>
      <c r="N76" s="45" t="s">
        <v>22</v>
      </c>
      <c r="O76" s="97"/>
      <c r="P76" s="35"/>
      <c r="Q76" s="35"/>
      <c r="R76" s="68"/>
      <c r="S76" s="68"/>
      <c r="T76" s="68"/>
      <c r="U76" s="35"/>
      <c r="V76" s="35"/>
      <c r="W76" s="35"/>
      <c r="X76" s="35"/>
      <c r="Y76" s="35"/>
      <c r="Z76" s="35"/>
      <c r="AA76" s="35"/>
      <c r="AB76" s="35"/>
      <c r="AC76" s="60"/>
      <c r="AD76" s="61"/>
      <c r="AE76" s="61"/>
      <c r="AF76" s="61"/>
      <c r="AG76" s="61"/>
      <c r="AH76" s="61"/>
      <c r="AI76" s="85"/>
      <c r="AJ76" s="85"/>
      <c r="AK76" s="85"/>
      <c r="AL76" s="85"/>
      <c r="AM76" s="85"/>
      <c r="AN76" s="85"/>
      <c r="AO76" s="85"/>
      <c r="AP76" s="85"/>
    </row>
    <row r="77" ht="30.0" customHeight="1">
      <c r="A77" s="29"/>
      <c r="B77" s="93" t="s">
        <v>337</v>
      </c>
      <c r="C77" s="113"/>
      <c r="D77" s="113"/>
      <c r="E77" s="113"/>
      <c r="F77" s="113"/>
      <c r="G77" s="113"/>
      <c r="H77" s="113"/>
      <c r="I77" s="113"/>
      <c r="J77" s="42" t="str">
        <f>IFERROR(__xludf.DUMMYFUNCTION("GOOGLETRANSLATE(I77,""en"",""pl"")"),"#VALUE!")</f>
        <v>#VALUE!</v>
      </c>
      <c r="K77" s="94"/>
      <c r="L77" s="114"/>
      <c r="M77" s="115"/>
      <c r="N77" s="96"/>
      <c r="O77" s="83"/>
      <c r="P77" s="36"/>
      <c r="Q77" s="35"/>
      <c r="R77" s="68"/>
      <c r="S77" s="68"/>
      <c r="T77" s="68"/>
      <c r="U77" s="35"/>
      <c r="V77" s="35"/>
      <c r="W77" s="35"/>
      <c r="X77" s="35"/>
      <c r="Y77" s="35"/>
      <c r="Z77" s="35"/>
      <c r="AA77" s="35"/>
      <c r="AB77" s="35"/>
      <c r="AC77" s="60"/>
      <c r="AD77" s="85"/>
      <c r="AE77" s="85"/>
      <c r="AF77" s="85"/>
      <c r="AG77" s="85"/>
      <c r="AH77" s="85"/>
      <c r="AI77" s="85"/>
      <c r="AJ77" s="85"/>
      <c r="AK77" s="85"/>
      <c r="AL77" s="85"/>
      <c r="AM77" s="85"/>
      <c r="AN77" s="85"/>
      <c r="AO77" s="85"/>
      <c r="AP77" s="85"/>
    </row>
    <row r="78" ht="127.5" customHeight="1">
      <c r="A78" s="29"/>
      <c r="B78" s="38" t="s">
        <v>118</v>
      </c>
      <c r="C78" s="39" t="s">
        <v>338</v>
      </c>
      <c r="D78" s="40" t="s">
        <v>339</v>
      </c>
      <c r="E78" s="40" t="s">
        <v>168</v>
      </c>
      <c r="F78" s="40" t="s">
        <v>340</v>
      </c>
      <c r="G78" s="40" t="s">
        <v>184</v>
      </c>
      <c r="H78" s="41" t="s">
        <v>19</v>
      </c>
      <c r="I78" s="48" t="s">
        <v>341</v>
      </c>
      <c r="J78" s="42" t="str">
        <f>IFERROR(__xludf.DUMMYFUNCTION("GOOGLETRANSLATE(I78,""en"",""pl"")"),"Seria X zasilana przez zewnętrzną kamerę kopułkową IR Wisenet 7 AI, modułowa konstrukcja X PLUS, 6 MP @30 kl./s, obiektyw zmiennoogniskowy 10,9 ~ 29 mm z napędem silnikowym (2,7x) (42°~15°), potrójny kodek H.265/H.264/MJPEG z WiseStream III, strumieniowan"&amp;"ie wielokrotne, WDR 120 dB, True Day &amp; Night (ICR), diody LED IR dużej mocy z widoczną długością podczerwieni 70 m, zdarzenia analityczne oparte na silniku AI (NPU): wykrywanie obiektów (osoba/twarz/pojazd — samochód, ciężarówka, autobus, rower, motocykl/"&amp;"tablica rejestracyjna), IVA (wirtualna linia/obszar, wejście/wyjście, włóczęgostwo, kierunek, wtargnięcie), zdarzenia analityczne: wykrywanie braku ostrości, wykrywanie ruchu, manipulacja, wykrywanie mgły, HLC, cyfrowa stabilizacja obrazu z czujnikiem żyr"&amp;"oskopowym, dwukierunkowy dźwięk i dwa gniazda microSD/SDHC/SDXC, ONVIF S/G/T, port USB ułatwiający instalację, IP67/IP66/IP6K9K, IK10+, Nema 4X, PoE+/12VDC, w zestawie białe nakładki")</f>
        <v>Seria X zasilana przez zewnętrzną kamerę kopułkową IR Wisenet 7 AI, modułowa konstrukcja X PLUS, 6 MP @30 kl./s, obiektyw zmiennoogniskowy 10,9 ~ 29 mm z napędem silnikowym (2,7x) (42°~15°), potrójny kodek H.265/H.264/MJPEG z WiseStream III, strumieniowanie wielokrotne, WDR 120 dB, True Day &amp; Night (ICR), diody LED IR dużej mocy z widoczną długością podczerwieni 70 m,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HLC, cyfrowa stabilizacja obrazu z czujnikiem żyroskopowym, dwukierunkowy dźwięk i dwa gniazda microSD/SDHC/SDXC, ONVIF S/G/T, port USB ułatwiający instalację, IP67/IP66/IP6K9K, IK10+, Nema 4X, PoE+/12VDC, w zestawie białe nakładki</v>
      </c>
      <c r="K78" s="43" t="s">
        <v>21</v>
      </c>
      <c r="L78" s="44">
        <v>2000.0</v>
      </c>
      <c r="M78" s="8"/>
      <c r="N78" s="45" t="s">
        <v>22</v>
      </c>
      <c r="O78" s="97"/>
      <c r="P78" s="36"/>
      <c r="Q78" s="35"/>
      <c r="R78" s="68"/>
      <c r="S78" s="68"/>
      <c r="T78" s="68"/>
      <c r="U78" s="35"/>
      <c r="V78" s="35"/>
      <c r="W78" s="35"/>
      <c r="X78" s="35"/>
      <c r="Y78" s="35"/>
      <c r="Z78" s="35"/>
      <c r="AA78" s="35"/>
      <c r="AB78" s="35"/>
      <c r="AC78" s="101"/>
      <c r="AD78" s="98"/>
      <c r="AE78" s="98"/>
      <c r="AF78" s="98"/>
      <c r="AG78" s="98"/>
      <c r="AH78" s="98"/>
      <c r="AI78" s="85"/>
      <c r="AJ78" s="85"/>
      <c r="AK78" s="85"/>
      <c r="AL78" s="85"/>
      <c r="AM78" s="85"/>
      <c r="AN78" s="85"/>
      <c r="AO78" s="85"/>
      <c r="AP78" s="85"/>
    </row>
    <row r="79" ht="113.25" customHeight="1">
      <c r="A79" s="29"/>
      <c r="B79" s="38" t="s">
        <v>118</v>
      </c>
      <c r="C79" s="39" t="s">
        <v>342</v>
      </c>
      <c r="D79" s="40" t="s">
        <v>343</v>
      </c>
      <c r="E79" s="40" t="s">
        <v>168</v>
      </c>
      <c r="F79" s="40" t="s">
        <v>340</v>
      </c>
      <c r="G79" s="40" t="s">
        <v>192</v>
      </c>
      <c r="H79" s="41" t="s">
        <v>19</v>
      </c>
      <c r="I79" s="42" t="s">
        <v>344</v>
      </c>
      <c r="J79" s="42" t="str">
        <f>IFERROR(__xludf.DUMMYFUNCTION("GOOGLETRANSLATE(I79,""en"",""pl"")"),"Seria X zasilana przez kamerę kopułkową IR do zastosowań wewnętrznych z ochroną przed wandalizmem Wisenet 7 AI, modułowa struktura X PLUS, 6 MP @30 kl./s, obiektyw zmiennoogniskowy 10,9 ~ 29,0 mm z napędem silnikowym (2,7x) (42,0 ~ 15,0°), potrójny kodek "&amp;"H.265/H.264/MJPEG z WiseStream II, strumieniowanie wielokrotne, WDR 120 dB, True Day &amp; Night (ICR), diody LED IR dużej mocy z widoczną długością podczerwieni 70 m, zdarzenia analityczne oparte na silniku AI (NPU): wykrywanie obiektów (osoba/twarz/pojazd –"&amp;" samochód, ciężarówka, autobus, rower, motocykl/tablica rejestracyjna), IVA (wirtualna linia/obszar, wejście/wyjście, wałęsanie się, kierunek, wtargnięcie), zdarzenia analityczne: wykrywanie braku ostrości, wykrywanie ruchu, manipulacja, wykrywanie mgły, "&amp;"HLC, cyfrowa stabilizacja obrazu z czujnikiem żyroskopowym, dwukierunkowy dźwięk i dwa gniazda microSD/SDHC/SDXC, ONVIF S/G/T, port USB ułatwiający instalację, IP52, IK10, PoE+/12 V DC, w zestawie białe nakładki")</f>
        <v>Seria X zasilana przez kamerę kopułkową IR do zastosowań wewnętrznych z ochroną przed wandalizmem Wisenet 7 AI, modułowa struktura X PLUS, 6 MP @30 kl./s, obiektyw zmiennoogniskowy 10,9 ~ 29,0 mm z napędem silnikowym (2,7x) (42,0 ~ 15,0°), potrójny kodek H.265/H.264/MJPEG z WiseStream II, strumieniowanie wielokrotne, WDR 120 dB, True Day &amp; Night (ICR), diody LED IR dużej mocy z widoczną długością podczerwieni 70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dwa gniazda microSD/SDHC/SDXC, ONVIF S/G/T, port USB ułatwiający instalację, IP52, IK10, PoE+/12 V DC, w zestawie białe nakładki</v>
      </c>
      <c r="K79" s="43" t="s">
        <v>189</v>
      </c>
      <c r="L79" s="44">
        <v>1800.0</v>
      </c>
      <c r="M79" s="8"/>
      <c r="N79" s="45" t="s">
        <v>22</v>
      </c>
      <c r="O79" s="97"/>
      <c r="P79" s="36"/>
      <c r="Q79" s="35"/>
      <c r="R79" s="68"/>
      <c r="S79" s="68"/>
      <c r="T79" s="68"/>
      <c r="U79" s="35"/>
      <c r="V79" s="35"/>
      <c r="W79" s="35"/>
      <c r="X79" s="35"/>
      <c r="Y79" s="35"/>
      <c r="Z79" s="35"/>
      <c r="AA79" s="35"/>
      <c r="AB79" s="35"/>
      <c r="AC79" s="60"/>
      <c r="AD79" s="61"/>
      <c r="AE79" s="61"/>
      <c r="AF79" s="61"/>
      <c r="AG79" s="61"/>
      <c r="AH79" s="61"/>
      <c r="AI79" s="85"/>
      <c r="AJ79" s="85"/>
      <c r="AK79" s="85"/>
      <c r="AL79" s="85"/>
      <c r="AM79" s="85"/>
      <c r="AN79" s="85"/>
      <c r="AO79" s="85"/>
      <c r="AP79" s="85"/>
    </row>
    <row r="80" ht="126.0" customHeight="1">
      <c r="A80" s="29"/>
      <c r="B80" s="38" t="s">
        <v>118</v>
      </c>
      <c r="C80" s="39" t="s">
        <v>345</v>
      </c>
      <c r="D80" s="40" t="s">
        <v>346</v>
      </c>
      <c r="E80" s="40" t="s">
        <v>168</v>
      </c>
      <c r="F80" s="40" t="s">
        <v>340</v>
      </c>
      <c r="G80" s="39" t="s">
        <v>18</v>
      </c>
      <c r="H80" s="41" t="s">
        <v>19</v>
      </c>
      <c r="I80" s="42" t="s">
        <v>347</v>
      </c>
      <c r="J80" s="42" t="str">
        <f>IFERROR(__xludf.DUMMYFUNCTION("GOOGLETRANSLATE(I80,""en"",""pl"")"),"Seria X zasilana przez zewnętrzną kamerę wandaloodporną typu bullet z siecią Wisenet 7 AI, 6 MP @30 kl./s, obiektyw zmiennoogniskowy 4,4~9,3 mm (2,1x), potrójny kodek H.265/H.264/MJPEG z WiseStream III, strumieniowanie wielokrotne, ekstremalny WDR (120 dB"&amp;"), automatyczny tryb dzień/noc (ICR), widoczna długość podczerwieni 50 m, cyberbezpieczeństwo następnego poziomu, zdarzenia analityczne oparte na silniku AI (NPU): wykrywanie obiektów (osoba/twarz/pojazd — samochód, ciężarówka, autobus, rower, motocykl/ta"&amp;"blica rejestracyjna), IVA (wirtualna linia/obszar, wejście/wyjście, włóczęgostwo, kierunek, wtargnięcie), zdarzenia analityczne: wykrywanie braku ostrości, wykrywanie ruchu, manipulacja, wykrywanie mgły, wykrywanie dźwięku, klasyfikacja dźwięku, wykrywani"&amp;"e wstrząsów, pojawianie się/znikanie, cyfrowa stabilizacja obrazu z wbudowanym czujnikiem żyroskopowym, dwukierunkowy dźwięk i dwie karty microSD/SDHC/SDXC gniazdo, IP66/IP67, IK10, NEMA4X, PoE+/12VDC")</f>
        <v>Seria X zasilana przez zewnętrzną kamerę wandaloodporną typu bullet z siecią Wisenet 7 AI, 6 MP @30 kl./s, obiektyw zmiennoogniskowy 4,4~9,3 mm (2,1x), potrójny kodek H.265/H.264/MJPEG z WiseStream III, strumieniowanie wielokrotne, ekstremalny WDR (120 dB), automatyczny tryb dzień/noc (ICR), widoczna długość podczerwieni 50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dwie karty microSD/SDHC/SDXC gniazdo, IP66/IP67, IK10, NEMA4X, PoE+/12VDC</v>
      </c>
      <c r="K80" s="43" t="s">
        <v>21</v>
      </c>
      <c r="L80" s="44">
        <v>1800.0</v>
      </c>
      <c r="M80" s="8"/>
      <c r="N80" s="45" t="s">
        <v>22</v>
      </c>
      <c r="O80" s="97"/>
      <c r="P80" s="36"/>
      <c r="Q80" s="35"/>
      <c r="R80" s="68"/>
      <c r="S80" s="68"/>
      <c r="T80" s="68"/>
      <c r="U80" s="35"/>
      <c r="V80" s="35"/>
      <c r="W80" s="35"/>
      <c r="X80" s="35"/>
      <c r="Y80" s="35"/>
      <c r="Z80" s="35"/>
      <c r="AA80" s="35"/>
      <c r="AB80" s="35"/>
      <c r="AC80" s="60"/>
      <c r="AD80" s="85"/>
      <c r="AE80" s="85"/>
      <c r="AF80" s="85"/>
      <c r="AG80" s="85"/>
      <c r="AH80" s="85"/>
      <c r="AI80" s="85"/>
      <c r="AJ80" s="85"/>
      <c r="AK80" s="85"/>
      <c r="AL80" s="85"/>
      <c r="AM80" s="85"/>
      <c r="AN80" s="85"/>
      <c r="AO80" s="85"/>
      <c r="AP80" s="85"/>
    </row>
    <row r="81" ht="129.75" customHeight="1">
      <c r="A81" s="29"/>
      <c r="B81" s="38" t="s">
        <v>118</v>
      </c>
      <c r="C81" s="39" t="s">
        <v>348</v>
      </c>
      <c r="D81" s="40" t="s">
        <v>339</v>
      </c>
      <c r="E81" s="40" t="s">
        <v>168</v>
      </c>
      <c r="F81" s="40" t="s">
        <v>340</v>
      </c>
      <c r="G81" s="40" t="s">
        <v>184</v>
      </c>
      <c r="H81" s="41" t="s">
        <v>19</v>
      </c>
      <c r="I81" s="48" t="s">
        <v>349</v>
      </c>
      <c r="J81" s="42" t="str">
        <f>IFERROR(__xludf.DUMMYFUNCTION("GOOGLETRANSLATE(I81,""en"",""pl"")"),"Seria X zasilana przez kamerę kopułkową Wisenet 7 AI IR do użytku na zewnątrz, modułowa konstrukcja X PLUS, 6 MP @30 kl./s, obiektyw zmiennoogniskowy 4,4 ~ 9,3 mm (2,1x) (112,1°~47,5°), potrójny kodek H.265/H.264/MJPEG z WiseStream III, strumieniowanie wi"&amp;"elokrotne, WDR 120 dB, True Day &amp; Night (ICR), diody LED IR dużej mocy z widoczną długością podczerwieni 50 m, zdarzenia analityczne oparte na silniku AI (NPU): wykrywanie obiektów (osoba/twarz/pojazd — samochód, ciężarówka, autobus, rower, motocykl/tabli"&amp;"ca rejestracyjna), IVA (wirtualna linia/obszar, wejście/wyjście, wałęsanie się, kierunek, wtargnięcie), zdarzenia analityczne: wykrywanie braku ostrości, wykrywanie ruchu, manipulacja, wykrywanie mgły, HLC, cyfrowa stabilizacja obrazu z czujnikiem żyrosko"&amp;"powym, Dwukierunkowy dźwięk i dwa gniazda na karty microSD/SDHC/SDXC, ONVIF S/G/T, port USB ułatwiający instalację, IP67/IP66/IP6K9K, IK10+, Nema 4X, PoE+/12 V DC, w zestawie białe nakładki")</f>
        <v>Seria X zasilana przez kamerę kopułkową Wisenet 7 AI IR do użytku na zewnątrz, modułowa konstrukcja X PLUS, 6 MP @30 kl./s, obiektyw zmiennoogniskowy 4,4 ~ 9,3 mm (2,1x) (112,1°~47,5°), potrójny kodek H.265/H.264/MJPEG z WiseStream III, strumieniowanie wielokrotne, WDR 120 dB, True Day &amp; Night (ICR), diody LED IR dużej mocy z widoczną długością podczerwieni 50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dwa gniazda na karty microSD/SDHC/SDXC, ONVIF S/G/T, port USB ułatwiający instalację, IP67/IP66/IP6K9K, IK10+, Nema 4X, PoE+/12 V DC, w zestawie białe nakładki</v>
      </c>
      <c r="K81" s="43" t="s">
        <v>21</v>
      </c>
      <c r="L81" s="44">
        <v>1800.0</v>
      </c>
      <c r="M81" s="8"/>
      <c r="N81" s="45" t="s">
        <v>22</v>
      </c>
      <c r="O81" s="97"/>
      <c r="P81" s="36"/>
      <c r="Q81" s="35"/>
      <c r="R81" s="68"/>
      <c r="S81" s="68"/>
      <c r="T81" s="68"/>
      <c r="U81" s="35"/>
      <c r="V81" s="35"/>
      <c r="W81" s="35"/>
      <c r="X81" s="35"/>
      <c r="Y81" s="35"/>
      <c r="Z81" s="35"/>
      <c r="AA81" s="35"/>
      <c r="AB81" s="35"/>
      <c r="AC81" s="60"/>
      <c r="AD81" s="85"/>
      <c r="AE81" s="85"/>
      <c r="AF81" s="85"/>
      <c r="AG81" s="85"/>
      <c r="AH81" s="85"/>
      <c r="AI81" s="85"/>
      <c r="AJ81" s="85"/>
      <c r="AK81" s="85"/>
      <c r="AL81" s="85"/>
      <c r="AM81" s="85"/>
      <c r="AN81" s="85"/>
      <c r="AO81" s="85"/>
      <c r="AP81" s="85"/>
    </row>
    <row r="82" ht="117.75" customHeight="1">
      <c r="A82" s="29"/>
      <c r="B82" s="38" t="s">
        <v>118</v>
      </c>
      <c r="C82" s="39" t="s">
        <v>350</v>
      </c>
      <c r="D82" s="40" t="s">
        <v>339</v>
      </c>
      <c r="E82" s="40" t="s">
        <v>168</v>
      </c>
      <c r="F82" s="40" t="s">
        <v>340</v>
      </c>
      <c r="G82" s="40" t="s">
        <v>184</v>
      </c>
      <c r="H82" s="41" t="s">
        <v>19</v>
      </c>
      <c r="I82" s="48" t="s">
        <v>351</v>
      </c>
      <c r="J82" s="42" t="str">
        <f>IFERROR(__xludf.DUMMYFUNCTION("GOOGLETRANSLATE(I82,""en"",""pl"")"),"Seria X zasilana przez kamerę kopułkową IR z kamerą wandaloodporną Wisenet 7 AI, Modułowa struktura X PLUS, 6 MP @30 kl./s, 4,4 ~ 9,3 mm z napędem silnikowym (2,1x), Kolor 0,03 luksa (F1,3, 1/30 sek., 30IRE), BW 0 luksów (włączona dioda IR), Widoczna dług"&amp;"ość IR: 30 m (98,43 stopy) w zależności od sceny, Dzień i noc (ICR), extremeWDR (120 dB), WiseNRⅡ, WiseStreamⅢ, Zdarzenia analityczne oparte na silniku AI (NPU): wykrywanie obiektów (osoba/twarz/pojazd — samochód, ciężarówka, autobus, rower, motocykl/tabl"&amp;"ica rejestracyjna), IVA (wirtualna linia/obszar, wejście/wyjście, włóczęgostwo, kierunek, wtargnięcie), Zdarzenia analityczne: wykrywanie braku ostrości, wykrywanie ruchu, manipulacja, wykrywanie mgły, wykrywanie dźwięku, klasyfikacja dźwięku, Wykrywanie "&amp;"wstrząsów, pojawianie się/znikanie, IP66/IP67/IP6K9K, NEMA4X, IK10+, kopułka z twardą powłoką")</f>
        <v>Seria X zasilana przez kamerę kopułkową IR z kamerą wandaloodporną Wisenet 7 AI, Modułowa struktura X PLUS, 6 MP @30 kl./s, 4,4 ~ 9,3 mm z napędem silnikowym (2,1x), Kolor 0,03 luksa (F1,3, 1/30 sek., 30IRE), BW 0 luksów (włączona dioda IR), Widoczna długość IR: 30 m (98,43 stopy) w zależności od sceny, Dzień i noc (ICR), extremeWDR (120 dB),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IP66/IP67/IP6K9K, NEMA4X, IK10+, kopułka z twardą powłoką</v>
      </c>
      <c r="K82" s="43" t="s">
        <v>189</v>
      </c>
      <c r="L82" s="44">
        <v>1850.0</v>
      </c>
      <c r="M82" s="8"/>
      <c r="N82" s="45" t="s">
        <v>22</v>
      </c>
      <c r="O82" s="97"/>
      <c r="P82" s="35"/>
      <c r="Q82" s="35"/>
      <c r="R82" s="68"/>
      <c r="S82" s="68"/>
      <c r="T82" s="68"/>
      <c r="U82" s="35"/>
      <c r="V82" s="35"/>
      <c r="W82" s="35"/>
      <c r="X82" s="35"/>
      <c r="Y82" s="35"/>
      <c r="Z82" s="35"/>
      <c r="AA82" s="35"/>
      <c r="AB82" s="35"/>
      <c r="AC82" s="60"/>
      <c r="AD82" s="85"/>
      <c r="AE82" s="85"/>
      <c r="AF82" s="85"/>
      <c r="AG82" s="85"/>
      <c r="AH82" s="85"/>
      <c r="AI82" s="98"/>
      <c r="AJ82" s="98"/>
      <c r="AK82" s="98"/>
      <c r="AL82" s="98"/>
      <c r="AM82" s="98"/>
      <c r="AN82" s="98"/>
      <c r="AO82" s="98"/>
      <c r="AP82" s="98"/>
    </row>
    <row r="83" ht="115.5" customHeight="1">
      <c r="A83" s="29"/>
      <c r="B83" s="38" t="s">
        <v>118</v>
      </c>
      <c r="C83" s="39" t="s">
        <v>352</v>
      </c>
      <c r="D83" s="40" t="s">
        <v>353</v>
      </c>
      <c r="E83" s="40" t="s">
        <v>168</v>
      </c>
      <c r="F83" s="40" t="s">
        <v>340</v>
      </c>
      <c r="G83" s="40" t="s">
        <v>184</v>
      </c>
      <c r="H83" s="41" t="s">
        <v>19</v>
      </c>
      <c r="I83" s="48" t="s">
        <v>354</v>
      </c>
      <c r="J83" s="42" t="str">
        <f>IFERROR(__xludf.DUMMYFUNCTION("GOOGLETRANSLATE(I83,""en"",""pl"")"),"Seria X zasilana przez kamerę kopułkową Wisenet 7 AI bez podczerwieni, modułowa struktura X PLUS, 6 MP @30 kl./s, obiektyw zmiennoogniskowy 4,4 ~ 9,3 mm z napędem silnikowym (2,1x), kolor 0,03 luksa (F1,3, 1/30 sek., 30IRE), BW 0 luksów (włączona dioda IR"&amp;"), dzień i noc (ICR), extremeWDR (120 dB), WiseNRⅡ, WiseStreamⅢ, zdarzenia analityczne oparte na silniku AI (NPU): wykrywanie obiektów (osoba/twarz/pojazd — samochód, ciężarówka, autobus, rower, motocykl/tablica rejestracyjna), IVA (wirtualna linia/obszar"&amp;", wejście/wyjście, włóczęgostwo, kierunek, wtargnięcie), zdarzenia analityczne: wykrywanie braku ostrości, wykrywanie ruchu, manipulacja, wykrywanie mgły, wykrywanie dźwięku, klasyfikacja dźwięku, wykrywanie wstrząsów, pojawianie się/znikanie, IP66/IP67/I"&amp;"P6K9K, NEMA4X, IK10+, Kopułka z twardą powłoką")</f>
        <v>Seria X zasilana przez kamerę kopułkową Wisenet 7 AI bez podczerwieni, modułowa struktura X PLUS, 6 MP @30 kl./s, obiektyw zmiennoogniskowy 4,4 ~ 9,3 mm z napędem silnikowym (2,1x), kolor 0,03 luksa (F1,3, 1/30 sek., 30IRE), BW 0 luksów (włączona dioda IR), dzień i noc (ICR), extremeWDR (120 dB),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IP66/IP67/IP6K9K, NEMA4X, IK10+, Kopułka z twardą powłoką</v>
      </c>
      <c r="K83" s="43" t="s">
        <v>189</v>
      </c>
      <c r="L83" s="44">
        <v>1850.0</v>
      </c>
      <c r="M83" s="8"/>
      <c r="N83" s="45" t="s">
        <v>22</v>
      </c>
      <c r="O83" s="97"/>
      <c r="P83" s="35"/>
      <c r="Q83" s="35"/>
      <c r="R83" s="68"/>
      <c r="S83" s="68"/>
      <c r="T83" s="68"/>
      <c r="U83" s="35"/>
      <c r="V83" s="35"/>
      <c r="W83" s="35"/>
      <c r="X83" s="35"/>
      <c r="Y83" s="35"/>
      <c r="Z83" s="35"/>
      <c r="AA83" s="35"/>
      <c r="AB83" s="35"/>
      <c r="AC83" s="60"/>
      <c r="AD83" s="85"/>
      <c r="AE83" s="85"/>
      <c r="AF83" s="85"/>
      <c r="AG83" s="85"/>
      <c r="AH83" s="85"/>
      <c r="AI83" s="98"/>
      <c r="AJ83" s="98"/>
      <c r="AK83" s="98"/>
      <c r="AL83" s="98"/>
      <c r="AM83" s="98"/>
      <c r="AN83" s="98"/>
      <c r="AO83" s="98"/>
      <c r="AP83" s="98"/>
    </row>
    <row r="84" ht="115.5" customHeight="1">
      <c r="A84" s="29"/>
      <c r="B84" s="38" t="s">
        <v>118</v>
      </c>
      <c r="C84" s="39" t="s">
        <v>355</v>
      </c>
      <c r="D84" s="40" t="s">
        <v>343</v>
      </c>
      <c r="E84" s="40" t="s">
        <v>168</v>
      </c>
      <c r="F84" s="40" t="s">
        <v>340</v>
      </c>
      <c r="G84" s="40" t="s">
        <v>192</v>
      </c>
      <c r="H84" s="41" t="s">
        <v>19</v>
      </c>
      <c r="I84" s="42" t="s">
        <v>356</v>
      </c>
      <c r="J84" s="42" t="str">
        <f>IFERROR(__xludf.DUMMYFUNCTION("GOOGLETRANSLATE(I84,""en"",""pl"")"),"Seria X zasilana przez kamerę kopułkową IR do zastosowań wewnętrznych z wandalizmem Wisenet 7 AI, modułowa struktura X PLUS, 6 MP @30 kl./s, obiektyw zmiennoogniskowy 4,4 ~ 9,3 mm (2,1x) (112,1°~47,5°), potrójny kodek H.265/H.264/MJPEG z WiseStream II, st"&amp;"rumieniowanie wielokrotne, WDR 120 dB, True Day &amp; Night (ICR), diody LED IR dużej mocy z widoczną długością podczerwieni 50 m, zdarzenia analityczne oparte na silniku AI (NPU): wykrywanie obiektów (osoba/twarz/pojazd – samochód, ciężarówka, autobus, rower"&amp;", motocykl/tablica rejestracyjna), IVA (wirtualna linia/obszar, wejście/wyjście, włóczęgostwo, kierunek, wtargnięcie), zdarzenia analityczne: wykrywanie braku ostrości, wykrywanie ruchu, manipulacja, wykrywanie mgły, HLC, cyfrowa stabilizacja obrazu z czu"&amp;"jnikiem żyroskopowym, dwukierunkowy dźwięk i dwa gniazda microSD/SDHC/SDXC, ONVIF S/G/T, port USB ułatwiający instalację, IP52, IK10, PoE+/12 V DC, w zestawie białe nakładki")</f>
        <v>Seria X zasilana przez kamerę kopułkową IR do zastosowań wewnętrznych z wandalizmem Wisenet 7 AI, modułowa struktura X PLUS, 6 MP @30 kl./s, obiektyw zmiennoogniskowy 4,4 ~ 9,3 mm (2,1x) (112,1°~47,5°), potrójny kodek H.265/H.264/MJPEG z WiseStream II, strumieniowanie wielokrotne, WDR 120 dB, True Day &amp; Night (ICR), diody LED IR dużej mocy z widoczną długością podczerwieni 50 m,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HLC, cyfrowa stabilizacja obrazu z czujnikiem żyroskopowym, dwukierunkowy dźwięk i dwa gniazda microSD/SDHC/SDXC, ONVIF S/G/T, port USB ułatwiający instalację, IP52, IK10, PoE+/12 V DC, w zestawie białe nakładki</v>
      </c>
      <c r="K84" s="43" t="s">
        <v>189</v>
      </c>
      <c r="L84" s="44">
        <v>1550.0</v>
      </c>
      <c r="M84" s="8"/>
      <c r="N84" s="45" t="s">
        <v>22</v>
      </c>
      <c r="O84" s="97"/>
      <c r="P84" s="36"/>
      <c r="Q84" s="35"/>
      <c r="R84" s="68"/>
      <c r="S84" s="68"/>
      <c r="T84" s="68"/>
      <c r="U84" s="35"/>
      <c r="V84" s="35"/>
      <c r="W84" s="35"/>
      <c r="X84" s="35"/>
      <c r="Y84" s="35"/>
      <c r="Z84" s="35"/>
      <c r="AA84" s="35"/>
      <c r="AB84" s="35"/>
      <c r="AC84" s="60"/>
      <c r="AD84" s="85"/>
      <c r="AE84" s="85"/>
      <c r="AF84" s="85"/>
      <c r="AG84" s="85"/>
      <c r="AH84" s="85"/>
      <c r="AI84" s="85"/>
      <c r="AJ84" s="85"/>
      <c r="AK84" s="85"/>
      <c r="AL84" s="85"/>
      <c r="AM84" s="85"/>
      <c r="AN84" s="85"/>
      <c r="AO84" s="85"/>
      <c r="AP84" s="85"/>
    </row>
    <row r="85" ht="125.25" customHeight="1">
      <c r="A85" s="29"/>
      <c r="B85" s="38" t="s">
        <v>118</v>
      </c>
      <c r="C85" s="39" t="s">
        <v>357</v>
      </c>
      <c r="D85" s="40" t="s">
        <v>346</v>
      </c>
      <c r="E85" s="40" t="s">
        <v>168</v>
      </c>
      <c r="F85" s="40" t="s">
        <v>340</v>
      </c>
      <c r="G85" s="39" t="s">
        <v>18</v>
      </c>
      <c r="H85" s="41" t="s">
        <v>19</v>
      </c>
      <c r="I85" s="42" t="s">
        <v>358</v>
      </c>
      <c r="J85" s="42" t="str">
        <f>IFERROR(__xludf.DUMMYFUNCTION("GOOGLETRANSLATE(I85,""en"",""pl"")"),"Seria X zasilana przez Wisenet 7 AI zewnętrzna kamera typu bullet z funkcją wandalizmu, 6 MP @30fps, 4,4~9,3 mm obiektyw zmiennoogniskowy z napędem silnikowym (2,1x), potrójny kodek H.265/H.264/MJPEG z WiseStream III, wielokrotne strumieniowanie, ekstrema"&amp;"lny WDR (120 dB), automatyczny tryb dzień/noc (ICR), widoczna długość podczerwieni 40 m, cyberbezpieczeństwo następnego poziomu, zdarzenia analityczne oparte na silniku AI (NPU): wykrywanie obiektów (osoba/twarz/pojazd — samochód, ciężarówka, autobus, row"&amp;"er, motocykl/tablica rejestracyjna), IVA (wirtualna linia/obszar, wejście/wyjście, włóczęgostwo, kierunek, wtargnięcie), zdarzenia analityczne: wykrywanie braku ostrości, wykrywanie ruchu, manipulacja, wykrywanie mgły, wykrywanie dźwięku, klasyfikacja dźw"&amp;"ięku, wykrywanie wstrząsów, pojawianie się/znikanie, cyfrowa stabilizacja obrazu z wbudowanym czujnikiem żyroskopowym, dwukierunkowy dźwięk i gniazdo microSD/SDHC/SDXC, IP66/IP67, IK10, NEMA4X, PoE+/12 V DC")</f>
        <v>Seria X zasilana przez Wisenet 7 AI zewnętrzna kamera typu bullet z funkcją wandalizmu, 6 MP @30fps, 4,4~9,3 mm obiektyw zmiennoogniskowy z napędem silnikowym (2,1x), potrójny kodek H.265/H.264/MJPEG z WiseStream III, wielokrotne strumieniowanie, ekstremalny WDR (120 dB), automatyczny tryb dzień/noc (ICR), widoczna długość podczerwieni 40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gniazdo microSD/SDHC/SDXC, IP66/IP67, IK10, NEMA4X, PoE+/12 V DC</v>
      </c>
      <c r="K85" s="43" t="s">
        <v>21</v>
      </c>
      <c r="L85" s="44">
        <v>1550.0</v>
      </c>
      <c r="M85" s="8"/>
      <c r="N85" s="45" t="s">
        <v>22</v>
      </c>
      <c r="O85" s="97"/>
      <c r="P85" s="36"/>
      <c r="Q85" s="35"/>
      <c r="R85" s="68"/>
      <c r="S85" s="68"/>
      <c r="T85" s="68"/>
      <c r="U85" s="35"/>
      <c r="V85" s="35"/>
      <c r="W85" s="35"/>
      <c r="X85" s="35"/>
      <c r="Y85" s="35"/>
      <c r="Z85" s="35"/>
      <c r="AA85" s="35"/>
      <c r="AB85" s="35"/>
      <c r="AC85" s="60"/>
      <c r="AD85" s="85"/>
      <c r="AE85" s="85"/>
      <c r="AF85" s="85"/>
      <c r="AG85" s="85"/>
      <c r="AH85" s="85"/>
      <c r="AI85" s="85"/>
      <c r="AJ85" s="85"/>
      <c r="AK85" s="85"/>
      <c r="AL85" s="85"/>
      <c r="AM85" s="85"/>
      <c r="AN85" s="85"/>
      <c r="AO85" s="85"/>
      <c r="AP85" s="85"/>
    </row>
    <row r="86" ht="114.0" customHeight="1">
      <c r="A86" s="29"/>
      <c r="B86" s="38" t="s">
        <v>118</v>
      </c>
      <c r="C86" s="39" t="s">
        <v>359</v>
      </c>
      <c r="D86" s="40" t="s">
        <v>339</v>
      </c>
      <c r="E86" s="40" t="s">
        <v>168</v>
      </c>
      <c r="F86" s="40" t="s">
        <v>340</v>
      </c>
      <c r="G86" s="39" t="s">
        <v>184</v>
      </c>
      <c r="H86" s="41" t="s">
        <v>19</v>
      </c>
      <c r="I86" s="48" t="s">
        <v>360</v>
      </c>
      <c r="J86" s="42" t="str">
        <f>IFERROR(__xludf.DUMMYFUNCTION("GOOGLETRANSLATE(I86,""en"",""pl"")"),"Seria X zasilana przez zewnętrzną kamerę kopułkową IR Wisenet 7 AI, 6 MP @30 kl./s, obiektyw zmiennoogniskowy 4,4 ~ 9,3 mm z napędem silnikowym (2,1x) (112,1°~47,5°), potrójny kodek H.265/H.264/MJPEG z WiseStream III, strumieniowanie wielokrotne, WDR 120 "&amp;"dB, True Day &amp; Night (ICR), diody LED IR o dużej mocy z widoczną długością podczerwieni 40 m, zdarzenia analityczne oparte na silniku AI (NPU): wykrywanie obiektów (osoba/twarz/pojazd – samochód, ciężarówka, autobus, rower, motocykl/tablica rejestracyjna)"&amp;", IVA (wirtualna linia/obszar, wejście/wyjście, wałęsanie się, kierunek, wtargnięcie), zdarzenia analityczne: wykrywanie braku ostrości, wykrywanie ruchu, manipulacja, wykrywanie mgły, HLC, cyfrowa stabilizacja obrazu z czujnikiem żyroskopowym, dwukierunk"&amp;"owy dźwięk i pojedynczy Gniazdo microSD/SDHC/SDXC, ONVIF S/G/T, port USB ułatwiający instalację, IP67/IP66, IK10, Nema 4X, PoE/12 V DC, w zestawie białe nakładki")</f>
        <v>Seria X zasilana przez zewnętrzną kamerę kopułkową IR Wisenet 7 AI, 6 MP @30 kl./s, obiektyw zmiennoogniskowy 4,4 ~ 9,3 mm z napędem silnikowym (2,1x) (112,1°~47,5°), potrójny kodek H.265/H.264/MJPEG z WiseStream III, strumieniowanie wielokrotne, WDR 120 dB, True Day &amp; Night (ICR), diody LED IR o dużej mocy z widoczną długością podczerwieni 40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IP67/IP66, IK10, Nema 4X, PoE/12 V DC, w zestawie białe nakładki</v>
      </c>
      <c r="K86" s="43" t="s">
        <v>189</v>
      </c>
      <c r="L86" s="44">
        <v>1550.0</v>
      </c>
      <c r="M86" s="8"/>
      <c r="N86" s="45" t="s">
        <v>22</v>
      </c>
      <c r="O86" s="97"/>
      <c r="P86" s="36"/>
      <c r="Q86" s="35"/>
      <c r="R86" s="68"/>
      <c r="S86" s="68"/>
      <c r="T86" s="68"/>
      <c r="U86" s="35"/>
      <c r="V86" s="35"/>
      <c r="W86" s="35"/>
      <c r="X86" s="35"/>
      <c r="Y86" s="35"/>
      <c r="Z86" s="35"/>
      <c r="AA86" s="35"/>
      <c r="AB86" s="35"/>
      <c r="AC86" s="60"/>
      <c r="AD86" s="61"/>
      <c r="AE86" s="61"/>
      <c r="AF86" s="61"/>
      <c r="AG86" s="61"/>
      <c r="AH86" s="61"/>
      <c r="AI86" s="85"/>
      <c r="AJ86" s="85"/>
      <c r="AK86" s="85"/>
      <c r="AL86" s="85"/>
      <c r="AM86" s="85"/>
      <c r="AN86" s="85"/>
      <c r="AO86" s="85"/>
      <c r="AP86" s="85"/>
    </row>
    <row r="87" ht="46.5" customHeight="1">
      <c r="A87" s="29"/>
      <c r="B87" s="38" t="s">
        <v>118</v>
      </c>
      <c r="C87" s="39" t="s">
        <v>361</v>
      </c>
      <c r="D87" s="40" t="s">
        <v>343</v>
      </c>
      <c r="E87" s="40" t="s">
        <v>168</v>
      </c>
      <c r="F87" s="40" t="s">
        <v>340</v>
      </c>
      <c r="G87" s="40" t="s">
        <v>192</v>
      </c>
      <c r="H87" s="41" t="s">
        <v>19</v>
      </c>
      <c r="I87" s="42" t="s">
        <v>362</v>
      </c>
      <c r="J87" s="42" t="str">
        <f>IFERROR(__xludf.DUMMYFUNCTION("GOOGLETRANSLATE(I87,""en"",""pl"")"),"Seria X zasilana przez kamerę kopułkową IR do użytku wewnątrz budynków, zabezpieczoną przed wandalizmem, 6 MP @30 kl./s, obiektyw zmiennoogniskowy 4,4 ~ 9,3 mm z napędem silnikowym (2,1x) (112,1°~47,5°), potrójny kodek H.265/H.264/MJPEG z WiseStream II, s"&amp;"trumieniowanie wielokrotne, WDR 120 dB, True Day &amp; Night (ICR), diody LED IR o dużej mocy z widoczną długością podczerwieni 40 m, zdarzenia analityczne oparte na silniku AI (NPU): wykrywanie obiektów (osoby/twarz/pojazdy – samochód, ciężarówka, autobus, r"&amp;"ower, motocykl/tablica rejestracyjna), IVA (wirtualna linia/obszar, wejście/wyjście, wałęsanie się, kierunek, wtargnięcie), zdarzenia analityczne: wykrywanie braku ostrości, wykrywanie ruchu, manipulacja, wykrywanie mgły, HLC, cyfrowa stabilizacja obrazu "&amp;"z czujnikiem żyroskopowym, dwukierunkowy dźwięk i pojedynczy Gniazdo microSD/SDHC/SDXC, ONVIF S/G/T, port USB ułatwiający instalację, IP52, IK10, PoE/12 V DC, w zestawie białe nakładki")</f>
        <v>Seria X zasilana przez kamerę kopułkową IR do użytku wewnątrz budynków, zabezpieczoną przed wandalizmem, 6 MP @30 kl./s, obiektyw zmiennoogniskowy 4,4 ~ 9,3 mm z napędem silnikowym (2,1x) (112,1°~47,5°), potrójny kodek H.265/H.264/MJPEG z WiseStream II, strumieniowanie wielokrotne, WDR 120 dB, True Day &amp; Night (ICR), diody LED IR o dużej mocy z widoczną długością podczerwieni 40 m, zdarzenia analityczne oparte na silniku AI (NPU): wykrywanie obiektów (osoby/twarz/pojazdy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IP52, IK10, PoE/12 V DC, w zestawie białe nakładki</v>
      </c>
      <c r="K87" s="43" t="s">
        <v>189</v>
      </c>
      <c r="L87" s="44">
        <v>1350.0</v>
      </c>
      <c r="M87" s="8"/>
      <c r="N87" s="45" t="s">
        <v>22</v>
      </c>
      <c r="O87" s="97"/>
      <c r="P87" s="36"/>
      <c r="Q87" s="35"/>
      <c r="R87" s="68"/>
      <c r="S87" s="68"/>
      <c r="T87" s="68"/>
      <c r="U87" s="35"/>
      <c r="V87" s="35"/>
      <c r="W87" s="35"/>
      <c r="X87" s="35"/>
      <c r="Y87" s="35"/>
      <c r="Z87" s="35"/>
      <c r="AA87" s="35"/>
      <c r="AB87" s="35"/>
      <c r="AC87" s="60"/>
      <c r="AD87" s="85"/>
      <c r="AE87" s="85"/>
      <c r="AF87" s="85"/>
      <c r="AG87" s="85"/>
      <c r="AH87" s="85"/>
      <c r="AI87" s="85"/>
      <c r="AJ87" s="85"/>
      <c r="AK87" s="85"/>
      <c r="AL87" s="85"/>
      <c r="AM87" s="85"/>
      <c r="AN87" s="85"/>
      <c r="AO87" s="85"/>
      <c r="AP87" s="85"/>
    </row>
    <row r="88" ht="109.5" customHeight="1">
      <c r="A88" s="29"/>
      <c r="B88" s="38" t="s">
        <v>118</v>
      </c>
      <c r="C88" s="99" t="s">
        <v>363</v>
      </c>
      <c r="D88" s="40" t="s">
        <v>364</v>
      </c>
      <c r="E88" s="40" t="s">
        <v>168</v>
      </c>
      <c r="F88" s="40" t="s">
        <v>340</v>
      </c>
      <c r="G88" s="39" t="s">
        <v>213</v>
      </c>
      <c r="H88" s="41" t="s">
        <v>19</v>
      </c>
      <c r="I88" s="42" t="s">
        <v>365</v>
      </c>
      <c r="J88" s="42" t="str">
        <f>IFERROR(__xludf.DUMMYFUNCTION("GOOGLETRANSLATE(I88,""en"",""pl"")"),"Seria X zasilana przez zewnętrzną kamerę sieciową IR PTZ Wisenet 7 AI, 6 MP @30fps, obiektyw z zoomem optycznym 25x (5 ~ 150mm) (57,42º ~ 2,19º), zakres panoramowania 360° bez ograniczeń, prędkość panoramowania 350°/sek., pochylenie: -20° ~ 90°, potrójny "&amp;"kodek H.265/H.264/MJPEG z WiseStream II, strumieniowanie wielokrotne, ekstremalny WDR (120dB), True Day &amp; Night (ICR), widoczna długość podczerwieni 200m, zdarzenia analityczne oparte na silniku AI, wykrywanie rozmycia / ruchu / mgły / wstrząsów, manipula"&amp;"cja, strefa wirtualna, sklasyfikowany obiekt (osoba/twarz/pojazd/tablica rejestracyjna), atrybuty (typ pojazdu), automatyczne śledzenie obiektu (osoba/pojazd), śledzenie blokady celu, cyfrowa stabilizacja obrazu z wbudowaną funkcją Czujnik żyroskopowy, 2 "&amp;"gniazda Micro SD/SDHC/SDXC do 1 TB, IP66, IK10, NEMA4X, NEMA-TS2, HPoE, wbudowana wycieraczka
* Wyjścia alarmowe, detekcja dźwięku, klasyfikacja dźwięku (z modułem NW I/O, który można kupić osobno)")</f>
        <v>Seria X zasilana przez zewnętrzną kamerę sieciową IR PTZ Wisenet 7 AI, 6 MP @30fps, obiektyw z zoomem optycznym 25x (5 ~ 150mm) (57,42º ~ 2,19º), zakres panoramowania 360° bez ograniczeń, prędkość panoramowania 350°/sek., pochylenie: -20° ~ 90°, potrójny kodek H.265/H.264/MJPEG z WiseStream II, strumieniowanie wielokrotne, ekstremalny WDR (120dB), True Day &amp; Night (ICR), widoczna długość podczerwieni 200m,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wbudowaną funkcją Czujnik żyroskopowy, 2 gniazda Micro SD/SDHC/SDXC do 1 TB, IP66, IK10, NEMA4X, NEMA-TS2, HPoE, wbudowana wycieraczka
* Wyjścia alarmowe, detekcja dźwięku, klasyfikacja dźwięku (z modułem NW I/O, który można kupić osobno)</v>
      </c>
      <c r="K88" s="100" t="s">
        <v>21</v>
      </c>
      <c r="L88" s="44">
        <v>4750.0</v>
      </c>
      <c r="M88" s="8"/>
      <c r="N88" s="45" t="s">
        <v>22</v>
      </c>
      <c r="O88" s="97"/>
      <c r="P88" s="36"/>
      <c r="Q88" s="35"/>
      <c r="R88" s="68"/>
      <c r="S88" s="68"/>
      <c r="T88" s="68"/>
      <c r="U88" s="35"/>
      <c r="V88" s="35"/>
      <c r="W88" s="35"/>
      <c r="X88" s="35"/>
      <c r="Y88" s="35"/>
      <c r="Z88" s="35"/>
      <c r="AA88" s="35"/>
      <c r="AB88" s="35"/>
      <c r="AC88" s="60"/>
      <c r="AD88" s="85"/>
      <c r="AE88" s="85"/>
      <c r="AF88" s="85"/>
      <c r="AG88" s="85"/>
      <c r="AH88" s="85"/>
      <c r="AI88" s="85"/>
      <c r="AJ88" s="85"/>
      <c r="AK88" s="85"/>
      <c r="AL88" s="85"/>
      <c r="AM88" s="85"/>
      <c r="AN88" s="85"/>
      <c r="AO88" s="85"/>
      <c r="AP88" s="85"/>
    </row>
    <row r="89" ht="46.5" customHeight="1">
      <c r="A89" s="29"/>
      <c r="B89" s="38" t="s">
        <v>118</v>
      </c>
      <c r="C89" s="99" t="s">
        <v>366</v>
      </c>
      <c r="D89" s="40" t="s">
        <v>367</v>
      </c>
      <c r="E89" s="40" t="s">
        <v>168</v>
      </c>
      <c r="F89" s="40" t="s">
        <v>340</v>
      </c>
      <c r="G89" s="39" t="s">
        <v>213</v>
      </c>
      <c r="H89" s="41" t="s">
        <v>19</v>
      </c>
      <c r="I89" s="42" t="s">
        <v>368</v>
      </c>
      <c r="J89" s="42" t="str">
        <f>IFERROR(__xludf.DUMMYFUNCTION("GOOGLETRANSLATE(I89,""en"",""pl"")"),"Seria X zasilana przez zewnętrzną kamerę sieciową IR PTZ Wisenet 7 AI, 6 MP @30fps, obiektyw z zoomem optycznym 25x (5 ~ 125mm) (57,42º ~ 2,71º), zakres panoramowania 360° bez ograniczeń, prędkość panoramowania 700°/sek., pochylenie: -20° ~ 90°, potrójny "&amp;"kodek H.265/H.264/MJPEG z WiseStream II, strumieniowanie wielokrotne, ekstremalny WDR (120dB), True Day &amp; Night (ICR), widoczna długość podczerwieni 200m, zdarzenia analityczne oparte na silniku AI, wykrywanie rozmycia / ruchu / mgły / wstrząsów, manipula"&amp;"cja, strefa wirtualna, sklasyfikowany obiekt (osoba/twarz/pojazd/tablica rejestracyjna), atrybuty (typ pojazdu), automatyczne śledzenie obiektu (osoba/pojazd), śledzenie blokady celu, cyfrowa stabilizacja obrazu z wbudowaną funkcją Czujnik żyroskopowy, 2 "&amp;"gniazda Micro SD/SDHC/SDXC do 1 TB, IP66, IK10, NEMA4X, NEMA-TS2, HPoE
* Wyjścia alarmowe, detekcja dźwięku, klasyfikacja dźwięku (z modułem NW I/O, który można kupić osobno)")</f>
        <v>Seria X zasilana przez zewnętrzną kamerę sieciową IR PTZ Wisenet 7 AI, 6 MP @30fps, obiektyw z zoomem optycznym 25x (5 ~ 125mm) (57,42º ~ 2,71º), zakres panoramowania 360° bez ograniczeń, prędkość panoramowania 700°/sek., pochylenie: -20° ~ 90°, potrójny kodek H.265/H.264/MJPEG z WiseStream II, strumieniowanie wielokrotne, ekstremalny WDR (120dB), True Day &amp; Night (ICR), widoczna długość podczerwieni 200m,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wbudowaną funkcją Czujnik żyroskopowy, 2 gniazda Micro SD/SDHC/SDXC do 1 TB, IP66, IK10, NEMA4X, NEMA-TS2, HPoE
* Wyjścia alarmowe, detekcja dźwięku, klasyfikacja dźwięku (z modułem NW I/O, który można kupić osobno)</v>
      </c>
      <c r="K89" s="100" t="s">
        <v>21</v>
      </c>
      <c r="L89" s="44">
        <v>4450.0</v>
      </c>
      <c r="M89" s="8"/>
      <c r="N89" s="45" t="s">
        <v>22</v>
      </c>
      <c r="O89" s="97"/>
      <c r="P89" s="36"/>
      <c r="Q89" s="35"/>
      <c r="R89" s="68"/>
      <c r="S89" s="68"/>
      <c r="T89" s="68"/>
      <c r="U89" s="35"/>
      <c r="V89" s="35"/>
      <c r="W89" s="35"/>
      <c r="X89" s="35"/>
      <c r="Y89" s="35"/>
      <c r="Z89" s="35"/>
      <c r="AA89" s="35"/>
      <c r="AB89" s="35"/>
      <c r="AC89" s="60"/>
      <c r="AD89" s="85"/>
      <c r="AE89" s="85"/>
      <c r="AF89" s="85"/>
      <c r="AG89" s="85"/>
      <c r="AH89" s="85"/>
      <c r="AI89" s="85"/>
      <c r="AJ89" s="85"/>
      <c r="AK89" s="85"/>
      <c r="AL89" s="85"/>
      <c r="AM89" s="85"/>
      <c r="AN89" s="85"/>
      <c r="AO89" s="85"/>
      <c r="AP89" s="85"/>
    </row>
    <row r="90" ht="109.5" customHeight="1">
      <c r="A90" s="29"/>
      <c r="B90" s="38" t="s">
        <v>118</v>
      </c>
      <c r="C90" s="99" t="s">
        <v>369</v>
      </c>
      <c r="D90" s="40" t="s">
        <v>370</v>
      </c>
      <c r="E90" s="40" t="s">
        <v>168</v>
      </c>
      <c r="F90" s="40" t="s">
        <v>340</v>
      </c>
      <c r="G90" s="39" t="s">
        <v>213</v>
      </c>
      <c r="H90" s="41" t="s">
        <v>19</v>
      </c>
      <c r="I90" s="42" t="s">
        <v>371</v>
      </c>
      <c r="J90" s="42" t="str">
        <f>IFERROR(__xludf.DUMMYFUNCTION("GOOGLETRANSLATE(I90,""en"",""pl"")"),"Seria X zasilana przez zewnętrzną kamerę PTZ sieciową Wisenet 7 AI, 6 MP @30fps, obiektyw z zoomem optycznym 25x (5 ~ 125mm) (57,42º ~ 2,71º), zakres panoramowania 360° bez ograniczeń, prędkość panoramowania 700°/sek., pochylenie: -20° ~ 90°, potrójny kod"&amp;"ek H.265/H.264/MJPEG z WiseStream II, wiele strumieniowań do 10 profili, ekstremalny WDR (120dB), True Day &amp; Night (ICR), zdarzenia analityczne oparte na silniku AI, wykrywanie rozmycia / ruchu / mgły / wstrząsów, manipulacja, strefa wirtualna, sklasyfiko"&amp;"wany obiekt (osoba/twarz/pojazd/tablica rejestracyjna), atrybuty (typ pojazdu), automatyczne śledzenie obiektu (osoba/pojazd), śledzenie blokady celu, cyfrowa stabilizacja obrazu z wbudowanym czujnikiem żyroskopowym, 2x Gniazda na karty Micro SD/SDHC/SDXC"&amp;" do 1 TB, IP66, IK10, NEMA4X, NEMA-TS2, PoE+
* Wyjścia alarmowe, detekcja dźwięku, klasyfikacja dźwięku (z modułem NW I/O, który można kupić osobno)")</f>
        <v>Seria X zasilana przez zewnętrzną kamerę PTZ sieciową Wisenet 7 AI, 6 MP @30fps, obiektyw z zoomem optycznym 25x (5 ~ 125mm) (57,42º ~ 2,71º), zakres panoramowania 360° bez ograniczeń, prędkość panoramowania 700°/sek., pochylenie: -20° ~ 90°, potrójny kodek H.265/H.264/MJPEG z WiseStream II, wiele strumieniowań do 10 profili, ekstremalny WDR (120dB), True Day &amp; Night (ICR),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wbudowanym czujnikiem żyroskopowym, 2x Gniazda na karty Micro SD/SDHC/SDXC do 1 TB, IP66, IK10, NEMA4X, NEMA-TS2, PoE+
* Wyjścia alarmowe, detekcja dźwięku, klasyfikacja dźwięku (z modułem NW I/O, który można kupić osobno)</v>
      </c>
      <c r="K90" s="100" t="s">
        <v>21</v>
      </c>
      <c r="L90" s="44">
        <v>4200.0</v>
      </c>
      <c r="M90" s="8"/>
      <c r="N90" s="45" t="s">
        <v>22</v>
      </c>
      <c r="O90" s="97"/>
      <c r="P90" s="36"/>
      <c r="Q90" s="35"/>
      <c r="R90" s="68"/>
      <c r="S90" s="68"/>
      <c r="T90" s="68"/>
      <c r="U90" s="35"/>
      <c r="V90" s="35"/>
      <c r="W90" s="35"/>
      <c r="X90" s="35"/>
      <c r="Y90" s="35"/>
      <c r="Z90" s="35"/>
      <c r="AA90" s="35"/>
      <c r="AB90" s="35"/>
      <c r="AC90" s="60"/>
      <c r="AD90" s="85"/>
      <c r="AE90" s="85"/>
      <c r="AF90" s="85"/>
      <c r="AG90" s="85"/>
      <c r="AH90" s="85"/>
      <c r="AI90" s="85"/>
      <c r="AJ90" s="85"/>
      <c r="AK90" s="85"/>
      <c r="AL90" s="85"/>
      <c r="AM90" s="85"/>
      <c r="AN90" s="85"/>
      <c r="AO90" s="85"/>
      <c r="AP90" s="85"/>
    </row>
    <row r="91" ht="99.75" customHeight="1">
      <c r="A91" s="29"/>
      <c r="B91" s="38" t="s">
        <v>118</v>
      </c>
      <c r="C91" s="39" t="s">
        <v>372</v>
      </c>
      <c r="D91" s="40" t="s">
        <v>373</v>
      </c>
      <c r="E91" s="40" t="s">
        <v>168</v>
      </c>
      <c r="F91" s="40" t="s">
        <v>340</v>
      </c>
      <c r="G91" s="40" t="s">
        <v>18</v>
      </c>
      <c r="H91" s="41" t="s">
        <v>374</v>
      </c>
      <c r="I91" s="42" t="s">
        <v>375</v>
      </c>
      <c r="J91" s="42" t="str">
        <f>IFERROR(__xludf.DUMMYFUNCTION("GOOGLETRANSLATE(I91,""en"",""pl"")"),"Seria X zasilana przez zewnętrzną kamerę wandaloodporną typu bullet z siecią Wisenet 7, 6 MP @30fps, obiektyw zmiennoogniskowy 2,8~8,4 mm (3x), potrójny kodek H.265/H.264/MJPEG z WiseStream II, strumieniowanie wielokrotne, ekstremalny WDR (120 dB), automa"&amp;"tyczny tryb dzień/noc (ICR), widoczna długość podczerwieni 40 m, cyberbezpieczeństwo następnego poziomu, bezpłatna wbudowana zaawansowana analiza wideo i analiza biznesowa, klasyfikacja dźwięku, wykrywanie wstrząsów, odtwarzanie dźwięku, widok z korytarza"&amp;", wykrywanie ruchu, wykrywanie mgły, wykrywanie twarzy/górnej części ciała, cyfrowa stabilizacja obrazu z wbudowanym czujnikiem żyroskopowym, dwukierunkowy dźwięk i dwa gniazda microSD/SDHC/SDXC, IP66/IP67, IK10, NEMA4X, PoE/12 V DC/24 V AC")</f>
        <v>Seria X zasilana przez zewnętrzną kamerę wandaloodporną typu bullet z siecią Wisenet 7, 6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z korytarza, wykrywanie ruchu, wykrywanie mgły, wykrywanie twarzy/górnej części ciała, cyfrowa stabilizacja obrazu z wbudowanym czujnikiem żyroskopowym, dwukierunkowy dźwięk i dwa gniazda microSD/SDHC/SDXC, IP66/IP67, IK10, NEMA4X, PoE/12 V DC/24 V AC</v>
      </c>
      <c r="K91" s="43" t="s">
        <v>21</v>
      </c>
      <c r="L91" s="44">
        <v>1550.0</v>
      </c>
      <c r="M91" s="8"/>
      <c r="N91" s="45" t="s">
        <v>22</v>
      </c>
      <c r="O91" s="97"/>
      <c r="P91" s="36"/>
      <c r="Q91" s="35"/>
      <c r="R91" s="68"/>
      <c r="S91" s="68"/>
      <c r="T91" s="68"/>
      <c r="U91" s="35"/>
      <c r="V91" s="35"/>
      <c r="W91" s="35"/>
      <c r="X91" s="35"/>
      <c r="Y91" s="35"/>
      <c r="Z91" s="35"/>
      <c r="AA91" s="35"/>
      <c r="AB91" s="35"/>
      <c r="AC91" s="101"/>
      <c r="AD91" s="98"/>
      <c r="AE91" s="98"/>
      <c r="AF91" s="98"/>
      <c r="AG91" s="98"/>
      <c r="AH91" s="98"/>
      <c r="AI91" s="85"/>
      <c r="AJ91" s="85"/>
      <c r="AK91" s="85"/>
      <c r="AL91" s="85"/>
      <c r="AM91" s="85"/>
      <c r="AN91" s="85"/>
      <c r="AO91" s="85"/>
      <c r="AP91" s="85"/>
    </row>
    <row r="92" ht="96.0" customHeight="1">
      <c r="A92" s="29"/>
      <c r="B92" s="38" t="s">
        <v>118</v>
      </c>
      <c r="C92" s="39" t="s">
        <v>376</v>
      </c>
      <c r="D92" s="40" t="s">
        <v>377</v>
      </c>
      <c r="E92" s="40" t="s">
        <v>168</v>
      </c>
      <c r="F92" s="40" t="s">
        <v>340</v>
      </c>
      <c r="G92" s="40" t="s">
        <v>184</v>
      </c>
      <c r="H92" s="41" t="s">
        <v>378</v>
      </c>
      <c r="I92" s="42" t="s">
        <v>379</v>
      </c>
      <c r="J92" s="42" t="str">
        <f>IFERROR(__xludf.DUMMYFUNCTION("GOOGLETRANSLATE(I92,""en"",""pl"")"),"Seria X zasilana przez zewnętrzną kamerę kopułkową Wisenet 7, modułowa konstrukcja X PLUS, 6 MP @30fps, obiektyw zmiennoogniskowy 2,8~8,4 mm (3x), potrójny kodek H.265/H.264/MJPEG z WiseStream II, strumieniowanie wielokrotne, ekstremalny WDR (120 dB), aut"&amp;"omatyczny tryb dzień/noc (ICR), widoczna długość podczerwieni 40 m, cyberbezpieczeństwo następnego poziomu, bezpłatna wbudowana zaawansowana analiza wideo i analiza biznesowa, klasyfikacja dźwięku, wykrywanie wstrząsów, odtwarzanie dźwięku, widok korytarz"&amp;"a, wykrywanie ruchu, wykrywanie mgły, wykrywanie twarzy/górnej części ciała, cyfrowa stabilizacja obrazu z wbudowanym czujnikiem żyroskopowym, dwukierunkowy dźwięk i podwójne gniazdo microSD/SDHC/SDXC, IP66/IP67/IP6K9K, IK10+, NEMA4X, PoE/12 V DC")</f>
        <v>Seria X zasilana przez zewnętrzną kamerę kopułkową Wisenet 7, modułowa konstrukcja X PLUS, 6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podwójne gniazdo microSD/SDHC/SDXC, IP66/IP67/IP6K9K, IK10+, NEMA4X, PoE/12 V DC</v>
      </c>
      <c r="K92" s="43" t="s">
        <v>21</v>
      </c>
      <c r="L92" s="44">
        <v>1550.0</v>
      </c>
      <c r="M92" s="8"/>
      <c r="N92" s="45" t="s">
        <v>22</v>
      </c>
      <c r="O92" s="97"/>
      <c r="P92" s="36"/>
      <c r="Q92" s="35"/>
      <c r="R92" s="68"/>
      <c r="S92" s="68"/>
      <c r="T92" s="68"/>
      <c r="U92" s="35"/>
      <c r="V92" s="35"/>
      <c r="W92" s="35"/>
      <c r="X92" s="35"/>
      <c r="Y92" s="35"/>
      <c r="Z92" s="35"/>
      <c r="AA92" s="35"/>
      <c r="AB92" s="35"/>
      <c r="AC92" s="60"/>
      <c r="AD92" s="85"/>
      <c r="AE92" s="85"/>
      <c r="AF92" s="85"/>
      <c r="AG92" s="85"/>
      <c r="AH92" s="85"/>
      <c r="AI92" s="85"/>
      <c r="AJ92" s="85"/>
      <c r="AK92" s="85"/>
      <c r="AL92" s="85"/>
      <c r="AM92" s="85"/>
      <c r="AN92" s="85"/>
      <c r="AO92" s="85"/>
      <c r="AP92" s="85"/>
    </row>
    <row r="93" ht="96.0" customHeight="1">
      <c r="A93" s="29"/>
      <c r="B93" s="38" t="s">
        <v>118</v>
      </c>
      <c r="C93" s="39" t="s">
        <v>380</v>
      </c>
      <c r="D93" s="40" t="s">
        <v>381</v>
      </c>
      <c r="E93" s="40" t="s">
        <v>168</v>
      </c>
      <c r="F93" s="40" t="s">
        <v>340</v>
      </c>
      <c r="G93" s="40" t="s">
        <v>192</v>
      </c>
      <c r="H93" s="41" t="s">
        <v>382</v>
      </c>
      <c r="I93" s="42" t="s">
        <v>383</v>
      </c>
      <c r="J93" s="42" t="str">
        <f>IFERROR(__xludf.DUMMYFUNCTION("GOOGLETRANSLATE(I93,""en"",""pl"")"),"Seria X zasilana przez kamerę kopułkową do montażu wpuszczanego w pomieszczeniach Wisenet 7, modułowa konstrukcja X PLUS, 6 MP @30 kl./s, obiektyw zmiennoogniskowy 2,8~8,4 mm z napędem silnikowym (3x), potrójny kodek H.265/H.264/MJPEG z WiseStream II, str"&amp;"umieniowanie wielokrotne, ekstremalny WDR (120 dB), automatyczny tryb dzień/noc (ICR), widoczna długość podczerwieni 40 m, cyberbezpieczeństwo następnego poziomu, bezpłatna wbudowana zaawansowana analiza wideo i analiza biznesowa, klasyfikacja dźwięku, wy"&amp;"krywanie wstrząsów, odtwarzanie dźwięku, widok korytarza, wykrywanie ruchu, wykrywanie mgły, wykrywanie twarzy/górnej części ciała, cyfrowa stabilizacja obrazu z wbudowanym czujnikiem żyroskopowym, dwukierunkowy dźwięk i dwa gniazda microSD/SDHC/SDXC, IP5"&amp;"2, IK10, współczynnik plenum, PoE/12 V DC")</f>
        <v>Seria X zasilana przez kamerę kopułkową do montażu wpuszczanego w pomieszczeniach Wisenet 7, modułowa konstrukcja X PLUS, 6 MP @30 kl./s, obiektyw zmiennoogniskowy 2,8~8,4 mm z napędem silnikowym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dwa gniazda microSD/SDHC/SDXC, IP52, IK10, współczynnik plenum, PoE/12 V DC</v>
      </c>
      <c r="K93" s="43" t="s">
        <v>21</v>
      </c>
      <c r="L93" s="44">
        <v>1350.0</v>
      </c>
      <c r="M93" s="8"/>
      <c r="N93" s="45" t="s">
        <v>22</v>
      </c>
      <c r="O93" s="97"/>
      <c r="P93" s="36"/>
      <c r="Q93" s="35"/>
      <c r="R93" s="68"/>
      <c r="S93" s="68"/>
      <c r="T93" s="68"/>
      <c r="U93" s="35"/>
      <c r="V93" s="35"/>
      <c r="W93" s="35"/>
      <c r="X93" s="35"/>
      <c r="Y93" s="35"/>
      <c r="Z93" s="35"/>
      <c r="AA93" s="35"/>
      <c r="AB93" s="35"/>
      <c r="AC93" s="60"/>
      <c r="AD93" s="85"/>
      <c r="AE93" s="85"/>
      <c r="AF93" s="85"/>
      <c r="AG93" s="85"/>
      <c r="AH93" s="85"/>
      <c r="AI93" s="85"/>
      <c r="AJ93" s="85"/>
      <c r="AK93" s="85"/>
      <c r="AL93" s="85"/>
      <c r="AM93" s="85"/>
      <c r="AN93" s="85"/>
      <c r="AO93" s="85"/>
      <c r="AP93" s="85"/>
    </row>
    <row r="94" ht="99.75" customHeight="1">
      <c r="A94" s="29"/>
      <c r="B94" s="38" t="s">
        <v>118</v>
      </c>
      <c r="C94" s="39" t="s">
        <v>384</v>
      </c>
      <c r="D94" s="40" t="s">
        <v>385</v>
      </c>
      <c r="E94" s="40" t="s">
        <v>168</v>
      </c>
      <c r="F94" s="40" t="s">
        <v>340</v>
      </c>
      <c r="G94" s="40" t="s">
        <v>192</v>
      </c>
      <c r="H94" s="41" t="s">
        <v>386</v>
      </c>
      <c r="I94" s="42" t="s">
        <v>387</v>
      </c>
      <c r="J94" s="42" t="str">
        <f>IFERROR(__xludf.DUMMYFUNCTION("GOOGLETRANSLATE(I94,""en"",""pl"")"),"Seria X zasilana przez kopułkową kamerę wewnętrzną Wisenet 7, modułowa konstrukcja X PLUS, 6 MP @30fps, obiektyw zmiennoogniskowy 2,8~8,4 mm (3x), potrójny kodek H.265/H.264/MJPEG z WiseStream II, strumieniowanie wielokrotne, ekstremalny WDR (120 dB), aut"&amp;"omatyczny tryb dzień/noc (ICR), widoczna długość podczerwieni 40 m, cyberbezpieczeństwo następnego poziomu, bezpłatna wbudowana zaawansowana analiza wideo i analiza biznesowa, klasyfikacja dźwięku, wykrywanie wstrząsów, odtwarzanie dźwięku, widok korytarz"&amp;"a, wykrywanie ruchu, wykrywanie mgły, wykrywanie twarzy/górnej części ciała, cyfrowa stabilizacja obrazu z wbudowanym czujnikiem żyroskopowym, dwukierunkowy dźwięk i dwa gniazda microSD/SDHC/SDXC, IP52, IK10, PoE/12 V DC")</f>
        <v>Seria X zasilana przez kopułkową kamerę wewnętrzną Wisenet 7, modułowa konstrukcja X PLUS, 6 MP @30fps, obiektyw zmiennoogniskowy 2,8~8,4 mm (3x), potrójny kodek H.265/H.264/MJPEG z WiseStream II, strumieniowanie wielokrotne, ekstremalny WDR (120 dB), automatyczny tryb dzień/noc (ICR), widoczna długość podczerwieni 40 m, cyberbezpieczeństwo następnego poziomu, bezpłatna wbudowana zaawansowana analiza wideo i analiza biznesowa, klasyfikacja dźwięku, wykrywanie wstrząsów, odtwarzanie dźwięku, widok korytarza, wykrywanie ruchu, wykrywanie mgły, wykrywanie twarzy/górnej części ciała, cyfrowa stabilizacja obrazu z wbudowanym czujnikiem żyroskopowym, dwukierunkowy dźwięk i dwa gniazda microSD/SDHC/SDXC, IP52, IK10, PoE/12 V DC</v>
      </c>
      <c r="K94" s="43" t="s">
        <v>21</v>
      </c>
      <c r="L94" s="44">
        <v>1350.0</v>
      </c>
      <c r="M94" s="8"/>
      <c r="N94" s="45" t="s">
        <v>22</v>
      </c>
      <c r="O94" s="97"/>
      <c r="P94" s="36"/>
      <c r="Q94" s="35"/>
      <c r="R94" s="68"/>
      <c r="S94" s="68"/>
      <c r="T94" s="68"/>
      <c r="U94" s="35"/>
      <c r="V94" s="35"/>
      <c r="W94" s="35"/>
      <c r="X94" s="35"/>
      <c r="Y94" s="35"/>
      <c r="Z94" s="35"/>
      <c r="AA94" s="35"/>
      <c r="AB94" s="35"/>
      <c r="AC94" s="60"/>
      <c r="AD94" s="85"/>
      <c r="AE94" s="85"/>
      <c r="AF94" s="85"/>
      <c r="AG94" s="85"/>
      <c r="AH94" s="85"/>
      <c r="AI94" s="85"/>
      <c r="AJ94" s="85"/>
      <c r="AK94" s="85"/>
      <c r="AL94" s="85"/>
      <c r="AM94" s="85"/>
      <c r="AN94" s="85"/>
      <c r="AO94" s="85"/>
      <c r="AP94" s="85"/>
    </row>
    <row r="95" ht="84.75" customHeight="1">
      <c r="A95" s="29"/>
      <c r="B95" s="38" t="s">
        <v>118</v>
      </c>
      <c r="C95" s="39" t="s">
        <v>388</v>
      </c>
      <c r="D95" s="40" t="s">
        <v>389</v>
      </c>
      <c r="E95" s="40" t="s">
        <v>168</v>
      </c>
      <c r="F95" s="40" t="s">
        <v>340</v>
      </c>
      <c r="G95" s="40" t="s">
        <v>169</v>
      </c>
      <c r="H95" s="41" t="s">
        <v>19</v>
      </c>
      <c r="I95" s="48" t="s">
        <v>390</v>
      </c>
      <c r="J95" s="42" t="str">
        <f>IFERROR(__xludf.DUMMYFUNCTION("GOOGLETRANSLATE(I95,""en"",""pl"")"),"Seria X zasilana przez sieć Wisenet 5, mobilny obiektyw typu rybie oko, przetwornik CMOS 6 MP, 2048 x 2048 @ 30 kl./s, obiektyw stałoogniskowy 1,6 mm (192°), potrójny kodek H.265/H.264/MJPEG z technologią WiseStream II, WDR 120 dB, port USB ułatwiający in"&amp;"stalację, zaawansowana klasyfikacja wideo i dźwięku oraz analiza biznesowa, zasięg 49' mocnych diod IR, proste ustawianie ostrości, podwójna karta SD, HLC, wykrywanie zamglenia, DIS, do zastosowań mobilnych (złącze M12) adapter RJ45 do M12 NIE jest dołącz"&amp;"ony, 12 V DC/PoE, IP66, IK10, -40°C ~ +55°C (-40°F ~ +131°F)")</f>
        <v>Seria X zasilana przez sieć Wisenet 5, mobilny obiektyw typu rybie oko, przetwornik CMOS 6 MP, 2048 x 2048 @ 30 kl./s, obiektyw stałoogniskowy 1,6 mm (192°), potrójny kodek H.265/H.264/MJPEG z technologią WiseStream II, WDR 120 dB, port USB ułatwiający instalację, zaawansowana klasyfikacja wideo i dźwięku oraz analiza biznesowa, zasięg 49' mocnych diod IR, proste ustawianie ostrości, podwójna karta SD, HLC, wykrywanie zamglenia, DIS, do zastosowań mobilnych (złącze M12) adapter RJ45 do M12 NIE jest dołączony, 12 V DC/PoE, IP66, IK10, -40°C ~ +55°C (-40°F ~ +131°F)</v>
      </c>
      <c r="K95" s="43" t="s">
        <v>21</v>
      </c>
      <c r="L95" s="44">
        <v>1028.0</v>
      </c>
      <c r="M95" s="8"/>
      <c r="N95" s="45" t="s">
        <v>22</v>
      </c>
      <c r="O95" s="97"/>
      <c r="P95" s="36"/>
      <c r="Q95" s="35"/>
      <c r="R95" s="68"/>
      <c r="S95" s="68"/>
      <c r="T95" s="68"/>
      <c r="U95" s="35"/>
      <c r="V95" s="35"/>
      <c r="W95" s="35"/>
      <c r="X95" s="35"/>
      <c r="Y95" s="35"/>
      <c r="Z95" s="35"/>
      <c r="AA95" s="35"/>
      <c r="AB95" s="35"/>
      <c r="AC95" s="60"/>
      <c r="AD95" s="85"/>
      <c r="AE95" s="85"/>
      <c r="AF95" s="85"/>
      <c r="AG95" s="85"/>
      <c r="AH95" s="85"/>
      <c r="AI95" s="85"/>
      <c r="AJ95" s="85"/>
      <c r="AK95" s="85"/>
      <c r="AL95" s="85"/>
      <c r="AM95" s="85"/>
      <c r="AN95" s="85"/>
      <c r="AO95" s="85"/>
      <c r="AP95" s="85"/>
    </row>
    <row r="96" ht="84.75" customHeight="1">
      <c r="A96" s="29"/>
      <c r="B96" s="38" t="s">
        <v>118</v>
      </c>
      <c r="C96" s="39" t="s">
        <v>391</v>
      </c>
      <c r="D96" s="40" t="s">
        <v>392</v>
      </c>
      <c r="E96" s="40" t="s">
        <v>168</v>
      </c>
      <c r="F96" s="40" t="s">
        <v>340</v>
      </c>
      <c r="G96" s="40" t="s">
        <v>169</v>
      </c>
      <c r="H96" s="41" t="s">
        <v>19</v>
      </c>
      <c r="I96" s="48" t="s">
        <v>393</v>
      </c>
      <c r="J96" s="42" t="str">
        <f>IFERROR(__xludf.DUMMYFUNCTION("GOOGLETRANSLATE(I96,""en"",""pl"")"),"Seria X zasilana przez sieć Wisenet 5, zewnętrzna kamera wandaloodporna typu rybie oko, przetwornik CMOS 6 MP, 2048 x 2048 @ 30 kl./s, obiektyw stałoogniskowy 1,6 mm (192°), potrójny kodek H.265/H.264/MJPEG z technologią WiseStream II, WDR 120 dB, port US"&amp;"B ułatwiający instalację, zaawansowana klasyfikacja wideo i dźwięku oraz analiza biznesowa, wysokiej mocy diody IR o zasięgu 49', proste ustawianie ostrości, podwójna karta SD, HLC, wykrywanie zamglenia, DIS, 12 V DC/PoE, IP66, IK10, od -40°C do +55°C (od"&amp;" -40°F do +131°F)")</f>
        <v>Seria X zasilana przez sieć Wisenet 5, zewnętrzna kamera wandaloodporna typu rybie oko, przetwornik CMOS 6 MP, 2048 x 2048 @ 30 kl./s, obiektyw stałoogniskowy 1,6 mm (192°), potrójny kodek H.265/H.264/MJPEG z technologią WiseStream II, WDR 120 dB, port USB ułatwiający instalację, zaawansowana klasyfikacja wideo i dźwięku oraz analiza biznesowa, wysokiej mocy diody IR o zasięgu 49', proste ustawianie ostrości, podwójna karta SD, HLC, wykrywanie zamglenia, DIS, 12 V DC/PoE, IP66, IK10, od -40°C do +55°C (od -40°F do +131°F)</v>
      </c>
      <c r="K96" s="43" t="s">
        <v>21</v>
      </c>
      <c r="L96" s="44">
        <v>964.0</v>
      </c>
      <c r="M96" s="8"/>
      <c r="N96" s="45" t="s">
        <v>22</v>
      </c>
      <c r="O96" s="97"/>
      <c r="P96" s="36"/>
      <c r="Q96" s="35"/>
      <c r="R96" s="68"/>
      <c r="S96" s="68"/>
      <c r="T96" s="68"/>
      <c r="U96" s="35"/>
      <c r="V96" s="35"/>
      <c r="W96" s="35"/>
      <c r="X96" s="35"/>
      <c r="Y96" s="35"/>
      <c r="Z96" s="35"/>
      <c r="AA96" s="35"/>
      <c r="AB96" s="35"/>
      <c r="AC96" s="60"/>
      <c r="AD96" s="85"/>
      <c r="AE96" s="85"/>
      <c r="AF96" s="85"/>
      <c r="AG96" s="85"/>
      <c r="AH96" s="85"/>
      <c r="AI96" s="85"/>
      <c r="AJ96" s="85"/>
      <c r="AK96" s="85"/>
      <c r="AL96" s="85"/>
      <c r="AM96" s="85"/>
      <c r="AN96" s="85"/>
      <c r="AO96" s="85"/>
      <c r="AP96" s="85"/>
    </row>
    <row r="97" ht="84.75" customHeight="1">
      <c r="A97" s="29"/>
      <c r="B97" s="38" t="s">
        <v>118</v>
      </c>
      <c r="C97" s="39" t="s">
        <v>394</v>
      </c>
      <c r="D97" s="40" t="s">
        <v>395</v>
      </c>
      <c r="E97" s="40" t="s">
        <v>168</v>
      </c>
      <c r="F97" s="40" t="s">
        <v>340</v>
      </c>
      <c r="G97" s="40" t="s">
        <v>169</v>
      </c>
      <c r="H97" s="41" t="s">
        <v>19</v>
      </c>
      <c r="I97" s="48" t="s">
        <v>396</v>
      </c>
      <c r="J97" s="42" t="str">
        <f>IFERROR(__xludf.DUMMYFUNCTION("GOOGLETRANSLATE(I97,""en"",""pl"")"),"Seria X oparta na sieci Wisenet 5, wewnętrzne kamery typu rybie oko, przetwornik CMOS 6 MP, 2048 x 2048 @ 30 kl./s, obiektyw stałoogniskowy 1,6 mm (192°), potrójny kodek H.265/H.264/MJPEG z technologią WiseStream II, WDR 120 dB, port USB ułatwiający insta"&amp;"lację, zaawansowana klasyfikacja wideo i dźwięku oraz analiza biznesowa, wysokiej mocy diody IR o zasięgu 49 stóp, proste ustawianie ostrości, podwójna karta SD, HLC, wykrywanie zamglenia, DIS, 12 V DC/PoE")</f>
        <v>Seria X oparta na sieci Wisenet 5, wewnętrzne kamery typu rybie oko, przetwornik CMOS 6 MP, 2048 x 2048 @ 30 kl./s, obiektyw stałoogniskowy 1,6 mm (192°), potrójny kodek H.265/H.264/MJPEG z technologią WiseStream II, WDR 120 dB, port USB ułatwiający instalację, zaawansowana klasyfikacja wideo i dźwięku oraz analiza biznesowa, wysokiej mocy diody IR o zasięgu 49 stóp, proste ustawianie ostrości, podwójna karta SD, HLC, wykrywanie zamglenia, DIS, 12 V DC/PoE</v>
      </c>
      <c r="K97" s="43" t="s">
        <v>21</v>
      </c>
      <c r="L97" s="44">
        <v>900.0</v>
      </c>
      <c r="M97" s="8"/>
      <c r="N97" s="45" t="s">
        <v>22</v>
      </c>
      <c r="O97" s="97"/>
      <c r="P97" s="36"/>
      <c r="Q97" s="35"/>
      <c r="R97" s="68"/>
      <c r="S97" s="68"/>
      <c r="T97" s="68"/>
      <c r="U97" s="35"/>
      <c r="V97" s="35"/>
      <c r="W97" s="35"/>
      <c r="X97" s="35"/>
      <c r="Y97" s="35"/>
      <c r="Z97" s="35"/>
      <c r="AA97" s="35"/>
      <c r="AB97" s="35"/>
      <c r="AC97" s="60"/>
      <c r="AD97" s="85"/>
      <c r="AE97" s="85"/>
      <c r="AF97" s="85"/>
      <c r="AG97" s="85"/>
      <c r="AH97" s="85"/>
      <c r="AI97" s="85"/>
      <c r="AJ97" s="85"/>
      <c r="AK97" s="85"/>
      <c r="AL97" s="85"/>
      <c r="AM97" s="85"/>
      <c r="AN97" s="85"/>
      <c r="AO97" s="85"/>
      <c r="AP97" s="85"/>
    </row>
    <row r="98" ht="115.5" customHeight="1">
      <c r="A98" s="29"/>
      <c r="B98" s="38" t="s">
        <v>118</v>
      </c>
      <c r="C98" s="99" t="s">
        <v>397</v>
      </c>
      <c r="D98" s="40" t="s">
        <v>398</v>
      </c>
      <c r="E98" s="40" t="s">
        <v>168</v>
      </c>
      <c r="F98" s="40" t="s">
        <v>340</v>
      </c>
      <c r="G98" s="39" t="s">
        <v>213</v>
      </c>
      <c r="H98" s="41" t="s">
        <v>399</v>
      </c>
      <c r="I98" s="42" t="s">
        <v>400</v>
      </c>
      <c r="J98" s="42" t="str">
        <f>IFERROR(__xludf.DUMMYFUNCTION("GOOGLETRANSLATE(I98,""en"",""pl"")"),"Seria X zasilana przez zewnętrzną kamerę PTZ z siecią Wisenet 7 IR ze wbudowaną wycieraczką, 6 MP @30fps, obiektyw z 30-krotnym zoomem optycznym (5 ~ 150 mm) (57,42º ~ 2,19º), zakres obrotu 360° bez ograniczeń, prędkość obrotu 500°/sek., pochylenie: -20° "&amp;"~ 90°, potrójny kodek H.265/H.264/MJPEG z WiseStream II, strumieniowanie wielokrotne, ekstremalny WDR (120 dB), True Day &amp; Night (ICR), widoczna długość podczerwieni 200 m, inteligentna analiza wideo, wykrywanie ruchu, wykrywanie mgły, manipulacja, automa"&amp;"tyczne śledzenie obiektów (osoby/pojazdu), śledzenie blokady celu, cyfrowa stabilizacja obrazu z wbudowanym czujnikiem żyroskopowym, 2 gniazda Micro SD/SDHC/SDXC do 1 TB, IP66, IK10, NEMA4X, HPoE
* Wyjścia alarmowe, detekcja dźwięku, klasyfikacja dźwięku "&amp;"(z modułem NW I/O Box, który można kupić osobno)")</f>
        <v>Seria X zasilana przez zewnętrzną kamerę PTZ z siecią Wisenet 7 IR ze wbudowaną wycieraczką, 6 MP @30fps, obiektyw z 30-krotnym zoomem optycznym (5 ~ 150 mm) (57,42º ~ 2,19º), zakres obrotu 360° bez ograniczeń, prędkość obrotu 500°/sek., pochylenie: -20° ~ 90°, potrójny kodek H.265/H.264/MJPEG z WiseStream II, strumieniowanie wielokrotne, ekstremalny WDR (120 dB), True Day &amp; Night (ICR), widoczna długość podczerwieni 200 m, inteligentna analiza wideo, wykrywanie ruchu, wykrywanie mgły, manipulacja, automatyczne śledzenie obiektów (osoby/pojazdu), śledzenie blokady celu, cyfrowa stabilizacja obrazu z wbudowanym czujnikiem żyroskopowym, 2 gniazda Micro SD/SDHC/SDXC do 1 TB, IP66, IK10, NEMA4X, HPoE
* Wyjścia alarmowe, detekcja dźwięku, klasyfikacja dźwięku (z modułem NW I/O Box, który można kupić osobno)</v>
      </c>
      <c r="K98" s="43" t="s">
        <v>21</v>
      </c>
      <c r="L98" s="44">
        <v>4580.0</v>
      </c>
      <c r="M98" s="8"/>
      <c r="N98" s="45" t="s">
        <v>22</v>
      </c>
      <c r="O98" s="97"/>
      <c r="P98" s="36"/>
      <c r="Q98" s="9"/>
      <c r="R98" s="59"/>
      <c r="S98" s="59"/>
      <c r="T98" s="59"/>
      <c r="U98" s="9"/>
      <c r="V98" s="9"/>
      <c r="W98" s="9"/>
      <c r="X98" s="9"/>
      <c r="Y98" s="9"/>
      <c r="Z98" s="9"/>
      <c r="AA98" s="9"/>
      <c r="AB98" s="9"/>
      <c r="AC98" s="60"/>
      <c r="AD98" s="85"/>
      <c r="AE98" s="85"/>
      <c r="AF98" s="85"/>
      <c r="AG98" s="85"/>
      <c r="AH98" s="85"/>
      <c r="AI98" s="61"/>
      <c r="AJ98" s="61"/>
      <c r="AK98" s="61"/>
      <c r="AL98" s="85"/>
      <c r="AM98" s="85"/>
      <c r="AN98" s="85"/>
      <c r="AO98" s="85"/>
      <c r="AP98" s="85"/>
    </row>
    <row r="99" ht="114.75" customHeight="1">
      <c r="A99" s="29"/>
      <c r="B99" s="38" t="s">
        <v>118</v>
      </c>
      <c r="C99" s="99" t="s">
        <v>401</v>
      </c>
      <c r="D99" s="40" t="s">
        <v>402</v>
      </c>
      <c r="E99" s="40" t="s">
        <v>168</v>
      </c>
      <c r="F99" s="40" t="s">
        <v>340</v>
      </c>
      <c r="G99" s="39" t="s">
        <v>213</v>
      </c>
      <c r="H99" s="41" t="s">
        <v>403</v>
      </c>
      <c r="I99" s="42" t="s">
        <v>404</v>
      </c>
      <c r="J99" s="42" t="str">
        <f>IFERROR(__xludf.DUMMYFUNCTION("GOOGLETRANSLATE(I99,""en"",""pl"")"),"Seria X zasilana przez zewnętrzną kamerę PTZ z siecią Wisenet 7 IR, 6 MP @30fps, obiektyw z zoomem optycznym 25x (5 ~ 125mm) (57,42º ~ 2,71º), zakres obrotu 360° bez ograniczeń, prędkość obrotu 700°/sek., pochylenie: -20° ~ 90°, potrójny kodek H.265/H.264"&amp;"/MJPEG z WiseStream II, strumieniowanie wielokrotne, ekstremalny WDR (120dB), True Day &amp; Night (ICR), widoczna długość podczerwieni 200m, inteligentna analiza wideo, wykrywanie ruchu, wykrywanie mgły, manipulacja, automatyczne śledzenie obiektów (osoby/po"&amp;"jazdu), śledzenie blokady celu, cyfrowa stabilizacja obrazu z wbudowanym czujnikiem żyroskopowym, 2 gniazda Micro SD/SDHC/SDXC do 1TB, IP66, IK10, NEMA4X, NEMA-TS2, HPoE
* Wyjścia alarmowe, detekcja dźwięku, klasyfikacja dźwięku (z modułem NW I/O Box, któ"&amp;"ry można kupić osobno)")</f>
        <v>Seria X zasilana przez zewnętrzną kamerę PTZ z siecią Wisenet 7 IR, 6 MP @30fps, obiektyw z zoomem optycznym 25x (5 ~ 125mm) (57,42º ~ 2,71º), zakres obrotu 360° bez ograniczeń, prędkość obrotu 700°/sek., pochylenie: -20° ~ 90°, potrójny kodek H.265/H.264/MJPEG z WiseStream II, strumieniowanie wielokrotne, ekstremalny WDR (120dB), True Day &amp; Night (ICR), widoczna długość podczerwieni 200m, inteligentna analiza wideo, wykrywanie ruchu, wykrywanie mgły, manipulacja, automatyczne śledzenie obiektów (osoby/pojazdu), śledzenie blokady celu, cyfrowa stabilizacja obrazu z wbudowanym czujnikiem żyroskopowym, 2 gniazda Micro SD/SDHC/SDXC do 1TB, IP66, IK10, NEMA4X, NEMA-TS2, HPoE
* Wyjścia alarmowe, detekcja dźwięku, klasyfikacja dźwięku (z modułem NW I/O Box, który można kupić osobno)</v>
      </c>
      <c r="K99" s="43" t="s">
        <v>21</v>
      </c>
      <c r="L99" s="44">
        <v>4350.0</v>
      </c>
      <c r="M99" s="8"/>
      <c r="N99" s="45" t="s">
        <v>22</v>
      </c>
      <c r="O99" s="97"/>
      <c r="P99" s="36"/>
      <c r="Q99" s="35"/>
      <c r="R99" s="68"/>
      <c r="S99" s="68"/>
      <c r="T99" s="68"/>
      <c r="U99" s="35"/>
      <c r="V99" s="35"/>
      <c r="W99" s="35"/>
      <c r="X99" s="35"/>
      <c r="Y99" s="35"/>
      <c r="Z99" s="35"/>
      <c r="AA99" s="35"/>
      <c r="AB99" s="35"/>
      <c r="AC99" s="60"/>
      <c r="AD99" s="85"/>
      <c r="AE99" s="85"/>
      <c r="AF99" s="85"/>
      <c r="AG99" s="85"/>
      <c r="AH99" s="85"/>
      <c r="AI99" s="85"/>
      <c r="AJ99" s="85"/>
      <c r="AK99" s="85"/>
      <c r="AL99" s="85"/>
      <c r="AM99" s="85"/>
      <c r="AN99" s="85"/>
      <c r="AO99" s="85"/>
      <c r="AP99" s="85"/>
    </row>
    <row r="100" ht="69.75" customHeight="1">
      <c r="A100" s="29"/>
      <c r="B100" s="116" t="s">
        <v>118</v>
      </c>
      <c r="C100" s="117" t="s">
        <v>405</v>
      </c>
      <c r="D100" s="118" t="s">
        <v>406</v>
      </c>
      <c r="E100" s="118" t="s">
        <v>121</v>
      </c>
      <c r="F100" s="118" t="s">
        <v>340</v>
      </c>
      <c r="G100" s="117" t="s">
        <v>123</v>
      </c>
      <c r="H100" s="41" t="s">
        <v>170</v>
      </c>
      <c r="I100" s="119" t="s">
        <v>407</v>
      </c>
      <c r="J100" s="42" t="str">
        <f>IFERROR(__xludf.DUMMYFUNCTION("GOOGLETRANSLATE(I100,""en"",""pl"")"),"Seria P zasilana przez sieć Wisenet 7 zewnętrzna kamera kopułkowa wieloczujnikowa wielokierunkowa, 3 czujniki x 2 MP, maks. 6 MP przy 30 kl./s, 3 obiektywy zmiennoogniskowe z napędem silnikowym 3 ~ 6 mm (2x), potrójny kodek H.265/H.264/MJPEG z WiseStream "&amp;"II, wielokrotne strumieniowanie, extremeWDR 150 dB, automatyczny tryb dzień/noc (ICR), zaawansowana analiza wideo, detekcja ruchu, widok korytarza, HLC, cyfrowa stabilizacja obrazu, 2 gniazda SD/SDHC/SDXC, IP66, IK10, NEMA4X, PoE+")</f>
        <v>Seria P zasilana przez sieć Wisenet 7 zewnętrzna kamera kopułkowa wieloczujnikowa wielokierunkowa, 3 czujniki x 2 MP, maks. 6 MP przy 30 kl./s, 3 obiektywy zmiennoogniskowe z napędem silnikowym 3 ~ 6 mm (2x), potrójny kodek H.265/H.264/MJPEG z WiseStream II, wielokrotne strumieniowanie, extremeWDR 150 dB, automatyczny tryb dzień/noc (ICR), zaawansowana analiza wideo, detekcja ruchu, widok korytarza, HLC, cyfrowa stabilizacja obrazu, 2 gniazda SD/SDHC/SDXC, IP66, IK10, NEMA4X, PoE+</v>
      </c>
      <c r="K100" s="120" t="s">
        <v>21</v>
      </c>
      <c r="L100" s="44">
        <v>1870.0</v>
      </c>
      <c r="M100" s="8"/>
      <c r="N100" s="45" t="s">
        <v>22</v>
      </c>
      <c r="O100" s="97"/>
      <c r="P100" s="36"/>
      <c r="Q100" s="35"/>
      <c r="R100" s="68"/>
      <c r="S100" s="68"/>
      <c r="T100" s="68"/>
      <c r="U100" s="35"/>
      <c r="V100" s="35"/>
      <c r="W100" s="35"/>
      <c r="X100" s="35"/>
      <c r="Y100" s="35"/>
      <c r="Z100" s="35"/>
      <c r="AA100" s="35"/>
      <c r="AB100" s="35"/>
      <c r="AC100" s="60"/>
      <c r="AD100" s="85"/>
      <c r="AE100" s="85"/>
      <c r="AF100" s="85"/>
      <c r="AG100" s="85"/>
      <c r="AH100" s="85"/>
      <c r="AI100" s="85"/>
      <c r="AJ100" s="85"/>
      <c r="AK100" s="85"/>
      <c r="AL100" s="85"/>
      <c r="AM100" s="85"/>
      <c r="AN100" s="85"/>
      <c r="AO100" s="85"/>
      <c r="AP100" s="85"/>
    </row>
    <row r="101" ht="84.75" customHeight="1">
      <c r="A101" s="29"/>
      <c r="B101" s="102" t="s">
        <v>118</v>
      </c>
      <c r="C101" s="103" t="s">
        <v>408</v>
      </c>
      <c r="D101" s="104" t="s">
        <v>409</v>
      </c>
      <c r="E101" s="104" t="s">
        <v>174</v>
      </c>
      <c r="F101" s="104" t="s">
        <v>340</v>
      </c>
      <c r="G101" s="104" t="s">
        <v>169</v>
      </c>
      <c r="H101" s="105" t="s">
        <v>19</v>
      </c>
      <c r="I101" s="106" t="s">
        <v>410</v>
      </c>
      <c r="J101" s="42" t="str">
        <f>IFERROR(__xludf.DUMMYFUNCTION("GOOGLETRANSLATE(I101,""en"",""pl"")"),"Kamera sieciowa typu rybie oko do użytku wewnątrz pomieszczeń z serii Q, przetwornik CMOS 6 MP, 2048 x 2048 przy 30 kl./s, obiektyw stałoogniskowy 1,14 mm (187°), potrójny kodek H.265/H.264/MJPEG z technologią WiseStream II, WDR 120 dB, rozmycie ostrości,"&amp;" wykrywanie ruchu, manipulacja, liczenie osób, mapa cieplna, gniazdo SD/SDHC/SDXC, HLC, PoE, IP42")</f>
        <v>Kamera sieciowa typu rybie oko do użytku wewnątrz pomieszczeń z serii Q, przetwornik CMOS 6 MP, 2048 x 2048 przy 30 kl./s, obiektyw stałoogniskowy 1,14 mm (187°), potrójny kodek H.265/H.264/MJPEG z technologią WiseStream II, WDR 120 dB, rozmycie ostrości, wykrywanie ruchu, manipulacja, liczenie osób, mapa cieplna, gniazdo SD/SDHC/SDXC, HLC, PoE, IP42</v>
      </c>
      <c r="K101" s="100" t="s">
        <v>21</v>
      </c>
      <c r="L101" s="44">
        <v>621.0</v>
      </c>
      <c r="M101" s="8"/>
      <c r="N101" s="45" t="s">
        <v>22</v>
      </c>
      <c r="O101" s="97"/>
      <c r="P101" s="36"/>
      <c r="Q101" s="35"/>
      <c r="R101" s="68"/>
      <c r="S101" s="68"/>
      <c r="T101" s="68"/>
      <c r="U101" s="35"/>
      <c r="V101" s="35"/>
      <c r="W101" s="35"/>
      <c r="X101" s="35"/>
      <c r="Y101" s="35"/>
      <c r="Z101" s="35"/>
      <c r="AA101" s="35"/>
      <c r="AB101" s="35"/>
      <c r="AC101" s="60"/>
      <c r="AD101" s="85"/>
      <c r="AE101" s="85"/>
      <c r="AF101" s="85"/>
      <c r="AG101" s="85"/>
      <c r="AH101" s="85"/>
      <c r="AI101" s="85"/>
      <c r="AJ101" s="85"/>
      <c r="AK101" s="85"/>
      <c r="AL101" s="85"/>
      <c r="AM101" s="85"/>
      <c r="AN101" s="85"/>
      <c r="AO101" s="85"/>
      <c r="AP101" s="85"/>
    </row>
    <row r="102" ht="24.0" customHeight="1">
      <c r="A102" s="29"/>
      <c r="B102" s="93" t="s">
        <v>411</v>
      </c>
      <c r="C102" s="113"/>
      <c r="D102" s="113"/>
      <c r="E102" s="113"/>
      <c r="F102" s="113"/>
      <c r="G102" s="113"/>
      <c r="H102" s="113"/>
      <c r="I102" s="113"/>
      <c r="J102" s="42" t="str">
        <f>IFERROR(__xludf.DUMMYFUNCTION("GOOGLETRANSLATE(I102,""en"",""pl"")"),"#VALUE!")</f>
        <v>#VALUE!</v>
      </c>
      <c r="K102" s="94"/>
      <c r="L102" s="114"/>
      <c r="M102" s="115"/>
      <c r="N102" s="96"/>
      <c r="O102" s="83"/>
      <c r="P102" s="36"/>
      <c r="Q102" s="35"/>
      <c r="R102" s="68"/>
      <c r="S102" s="68"/>
      <c r="T102" s="68"/>
      <c r="U102" s="35"/>
      <c r="V102" s="35"/>
      <c r="W102" s="35"/>
      <c r="X102" s="35"/>
      <c r="Y102" s="35"/>
      <c r="Z102" s="35"/>
      <c r="AA102" s="35"/>
      <c r="AB102" s="35"/>
      <c r="AC102" s="60"/>
      <c r="AD102" s="85"/>
      <c r="AE102" s="85"/>
      <c r="AF102" s="85"/>
      <c r="AG102" s="85"/>
      <c r="AH102" s="85"/>
      <c r="AI102" s="85"/>
      <c r="AJ102" s="85"/>
      <c r="AK102" s="85"/>
      <c r="AL102" s="85"/>
      <c r="AM102" s="85"/>
      <c r="AN102" s="85"/>
      <c r="AO102" s="85"/>
      <c r="AP102" s="85"/>
    </row>
    <row r="103" ht="46.5" customHeight="1">
      <c r="A103" s="29"/>
      <c r="B103" s="38" t="s">
        <v>118</v>
      </c>
      <c r="C103" s="39" t="s">
        <v>412</v>
      </c>
      <c r="D103" s="40" t="s">
        <v>413</v>
      </c>
      <c r="E103" s="40" t="s">
        <v>168</v>
      </c>
      <c r="F103" s="40" t="s">
        <v>414</v>
      </c>
      <c r="G103" s="39" t="s">
        <v>192</v>
      </c>
      <c r="H103" s="41" t="s">
        <v>19</v>
      </c>
      <c r="I103" s="42" t="s">
        <v>415</v>
      </c>
      <c r="J103" s="42" t="str">
        <f>IFERROR(__xludf.DUMMYFUNCTION("GOOGLETRANSLATE(I103,""en"",""pl"")"),"Obsługiwana przez Wisenet 9, wewnętrzna kamera kopułkowa AI IR Network AI Dome, rozdzielczość 5MP @ 30FPS, 3,3~9,3 mm (2,8x), (99°~31°) z napędem silnikowym, kodek H.265/H.264/MJPEG, widoczna długość podczerwieni 40 m (131,2 stopy), port USB-C do łatwej i"&amp;"nstalacji, tryb dzień i noc (ICR), extremeWDR (120 dB), kopułka z twardą powłoką, DIS ze wbudowanym czujnikiem żyroskopowym, przekazywanie, oparta na sztucznej inteligencji technologia WiseStream, WiseNR Ⅱ (z wykorzystaniem silnika AI), dynamiczna maska ​"&amp;"​prywatności, zdarzenia IVA oparte na silniku AI (wykrywanie ruchu i obiektów, przekroczenie linii, obszar IVA, poślizg i upadek, klasyfikacja dźwięku), sklasyfikowane typy obiektów (osoba/twarz/pojazd/tablica rejestracyjna), atrybuty obiektu (osoba: płeć"&amp;"/kolor górnej/dolnej części ubrania/torba, twarz: Wiek/płeć/maska/okulary, pojazd: typ/kolor), BestShot, zdarzenia analityczne (rozmycie, ruch, manipulacja, mgła, wykrywanie dźwięku i wstrząsów), analiza biznesowa oparta na sztucznej inteligencji (zliczan"&amp;"ie osób/pojazdów/tłumu, zarządzanie kolejkami, mapa cieplna), element bezpieczny z certyfikatem FIPS 140-3 poziom 3, wbudowane gniazdo na kartę microSD (do 1 TB), IP52, IK10, temperatura pracy: -10°C~+50°C (14°F~+122°F), zasilanie: PoE, ekranowane metalem"&amp;" gniazdo RJ-45.")</f>
        <v>Obsługiwana przez Wisenet 9, wewnętrzna kamera kopułkowa AI IR Network AI Dome, rozdzielczość 5MP @ 30FPS, 3,3~9,3 mm (2,8x), (99°~31°) z napędem silnikowym, kodek H.265/H.264/MJPEG, widoczna długość podczerwieni 40 m (131,2 stopy), port USB-C do łatwej instalacji, tryb dzień i noc (ICR), extremeWDR (120 dB), kopułka z twardą powłoką, DIS ze wbudowanym czujnikiem żyroskopowym, przekazywanie,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obiektu (osoba: płeć/kolor górnej/dolnej części ubrania/torba, twarz: Wiek/płeć/maska/okulary, pojazd: typ/kolor), BestShot, zdarzenia analityczne (rozmycie, ruch, manipulacja, mgła, wykrywanie dźwięku i wstrząsów), analiza biznesowa oparta na sztucznej inteligencji (zliczanie osób/pojazdów/tłumu, zarządzanie kolejkami, mapa cieplna), element bezpieczny z certyfikatem FIPS 140-3 poziom 3, wbudowane gniazdo na kartę microSD (do 1 TB), IP52, IK10, temperatura pracy: -10°C~+50°C (14°F~+122°F), zasilanie: PoE, ekranowane metalem gniazdo RJ-45.</v>
      </c>
      <c r="K103" s="43" t="s">
        <v>21</v>
      </c>
      <c r="L103" s="44">
        <v>1250.0</v>
      </c>
      <c r="M103" s="8"/>
      <c r="N103" s="45" t="s">
        <v>22</v>
      </c>
      <c r="O103" s="97"/>
      <c r="P103" s="35"/>
      <c r="Q103" s="35"/>
      <c r="R103" s="68"/>
      <c r="S103" s="68"/>
      <c r="T103" s="68"/>
      <c r="U103" s="35"/>
      <c r="V103" s="35"/>
      <c r="W103" s="35"/>
      <c r="X103" s="35"/>
      <c r="Y103" s="35"/>
      <c r="Z103" s="35"/>
      <c r="AA103" s="35"/>
      <c r="AB103" s="35"/>
      <c r="AC103" s="101"/>
      <c r="AD103" s="98"/>
      <c r="AE103" s="98"/>
      <c r="AF103" s="98"/>
      <c r="AG103" s="98"/>
      <c r="AH103" s="98"/>
      <c r="AI103" s="98"/>
      <c r="AJ103" s="98"/>
      <c r="AK103" s="98"/>
      <c r="AL103" s="98"/>
      <c r="AM103" s="98"/>
      <c r="AN103" s="98"/>
      <c r="AO103" s="98"/>
      <c r="AP103" s="98"/>
    </row>
    <row r="104" ht="46.5" customHeight="1">
      <c r="A104" s="29"/>
      <c r="B104" s="38" t="s">
        <v>118</v>
      </c>
      <c r="C104" s="39" t="s">
        <v>416</v>
      </c>
      <c r="D104" s="40" t="s">
        <v>417</v>
      </c>
      <c r="E104" s="40" t="s">
        <v>168</v>
      </c>
      <c r="F104" s="40" t="s">
        <v>414</v>
      </c>
      <c r="G104" s="39" t="s">
        <v>18</v>
      </c>
      <c r="H104" s="41" t="s">
        <v>19</v>
      </c>
      <c r="I104" s="42" t="s">
        <v>418</v>
      </c>
      <c r="J104" s="42" t="str">
        <f>IFERROR(__xludf.DUMMYFUNCTION("GOOGLETRANSLATE(I104,""en"",""pl"")"),"Obsługiwana przez Wisenet 9, zewnętrzna kamera sieciowa AI IR Vandal Bullet, rozdzielczość 5MP @ 30FPS, obiektyw zmiennoogniskowy 3,3~9,3 mm (2,8x) (113°~47°) z napędem silnikowym, kodek H.265/H.264/MJPEG, widoczna długość podczerwieni 40 m (131,2 stopy),"&amp;" port USB-C do łatwej instalacji, tryb dzień i noc (ICR), extremeWDR (120 dB), kopułka z twardą powłoką, DIS ze wbudowanym czujnikiem żyroskopowym, przekazywanie, oparta na sztucznej inteligencji technologia WiseStream, WiseNR Ⅱ (z wykorzystaniem silnika "&amp;"AI), dynamiczna maska ​​prywatności, zdarzenia IVA oparte na silniku AI (wykrywanie ruchu i obiektów, przekroczenie linii, obszar IVA, poślizg i upadek, klasyfikacja dźwięku), sklasyfikowane typy obiektów (osoba/twarz/pojazd/tablica rejestracyjna), atrybu"&amp;"ty obiektu (osoba: płeć/kolor ubrania na górze/na dole/torba, Twarz: wiek/płeć/maska/okulary, pojazd: typ/kolor), BestShot, zdarzenia analityczne (rozmycie, ruch, manipulacja, mgła, wykrywanie dźwięku i wstrząsów), oparta na sztucznej inteligencji analiza"&amp;" biznesowa (zliczanie osób/pojazdów/tłumu, zarządzanie kolejkami, mapa cieplna), bezpieczny element z certyfikatem FIPS 140-3 poziomu 3, wbudowane gniazdo na kartę microSD (do 1 TB), IP66/IP67, IK10, NEMA 4X, NEMA-TS 2 (2.2.7.2-8, 2.2.8, 2.2.9), temperatu"&amp;"ra pracy: -40°C~+60°C (-40°F~+140°F), zasilanie: PoE, ekranowane metalem gniazdo RJ-45.")</f>
        <v>Obsługiwana przez Wisenet 9, zewnętrzna kamera sieciowa AI IR Vandal Bullet, rozdzielczość 5MP @ 30FPS, obiektyw zmiennoogniskowy 3,3~9,3 mm (2,8x) (113°~47°) z napędem silnikowym, kodek H.265/H.264/MJPEG, widoczna długość podczerwieni 40 m (131,2 stopy), port USB-C do łatwej instalacji, tryb dzień i noc (ICR), extremeWDR (120 dB), kopułka z twardą powłoką, DIS ze wbudowanym czujnikiem żyroskopowym, przekazywanie,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obiektu (osoba: płeć/kolor ubrania na górze/na dole/torba, Twarz: wiek/płeć/maska/okulary, pojazd: typ/kolor), BestShot, zdarzenia analityczne (rozmycie, ruch, manipulacja, mgła, wykrywanie dźwięku i wstrząsów), oparta na sztucznej inteligencji analiza biznesowa (zliczanie osób/pojazdów/tłumu, zarządzanie kolejkami, mapa cieplna), bezpieczny element z certyfikatem FIPS 140-3 poziomu 3, wbudowane gniazdo na kartę microSD (do 1 TB), IP66/IP67, IK10, NEMA 4X, NEMA-TS 2 (2.2.7.2-8, 2.2.8, 2.2.9), temperatura pracy: -40°C~+60°C (-40°F~+140°F), zasilanie: PoE, ekranowane metalem gniazdo RJ-45.</v>
      </c>
      <c r="K104" s="43" t="s">
        <v>21</v>
      </c>
      <c r="L104" s="44">
        <v>1450.0</v>
      </c>
      <c r="M104" s="8"/>
      <c r="N104" s="45" t="s">
        <v>22</v>
      </c>
      <c r="O104" s="97"/>
      <c r="P104" s="35"/>
      <c r="Q104" s="35"/>
      <c r="R104" s="68"/>
      <c r="S104" s="68"/>
      <c r="T104" s="68"/>
      <c r="U104" s="35"/>
      <c r="V104" s="35"/>
      <c r="W104" s="35"/>
      <c r="X104" s="35"/>
      <c r="Y104" s="35"/>
      <c r="Z104" s="35"/>
      <c r="AA104" s="35"/>
      <c r="AB104" s="35"/>
      <c r="AC104" s="101"/>
      <c r="AD104" s="98"/>
      <c r="AE104" s="98"/>
      <c r="AF104" s="98"/>
      <c r="AG104" s="98"/>
      <c r="AH104" s="98"/>
      <c r="AI104" s="98"/>
      <c r="AJ104" s="98"/>
      <c r="AK104" s="98"/>
      <c r="AL104" s="98"/>
      <c r="AM104" s="98"/>
      <c r="AN104" s="98"/>
      <c r="AO104" s="98"/>
      <c r="AP104" s="98"/>
    </row>
    <row r="105" ht="46.5" customHeight="1">
      <c r="A105" s="29"/>
      <c r="B105" s="38" t="s">
        <v>118</v>
      </c>
      <c r="C105" s="39" t="s">
        <v>419</v>
      </c>
      <c r="D105" s="40" t="s">
        <v>420</v>
      </c>
      <c r="E105" s="40" t="s">
        <v>168</v>
      </c>
      <c r="F105" s="40" t="s">
        <v>414</v>
      </c>
      <c r="G105" s="39" t="s">
        <v>18</v>
      </c>
      <c r="H105" s="41" t="s">
        <v>19</v>
      </c>
      <c r="I105" s="48" t="s">
        <v>421</v>
      </c>
      <c r="J105" s="42" t="str">
        <f>IFERROR(__xludf.DUMMYFUNCTION("GOOGLETRANSLATE(I105,""en"",""pl"")"),"Obsługiwana przez Wisenet 9, zewnętrzna kamera kopułkowa AI IR Vandal, rozdzielczość 5MP @ 30FPS, 3,3~9,3 mm (2,8x), (113°~47°) z napędem silnikowym, kodek H.265/H.264/MJPEG, widoczna długość podczerwieni 40 m (131,2 stopy), port USB-C do łatwej instalacj"&amp;"i, tryb dzień i noc (ICR), extremeWDR (120 dB), kopułka z twardą powłoką, DIS ze wbudowanym czujnikiem żyroskopowym, Handover, oparta na sztucznej inteligencji technologia WiseStream, WiseNR Ⅱ (z wykorzystaniem silnika AI), dynamiczna maska ​​prywatności,"&amp;" zdarzenia IVA oparte na silniku AI (wykrywanie ruchu i obiektów, przekroczenie linii, obszar IVA, poślizg i upadek, klasyfikacja dźwięku), sklasyfikowane typy obiektów (osoba/twarz/pojazd/tablica rejestracyjna), atrybuty obiektu (osoba: płeć/kolor ubrani"&amp;"a na górze/na dole/torba, Twarz: wiek/płeć/maska/okulary, pojazd: typ/kolor), BestShot, zdarzenia analityczne (rozmycie, ruch, manipulacja, mgła, wykrywanie dźwięku i wstrząsów), oparta na sztucznej inteligencji analiza biznesowa (zliczanie osób/pojazdów/"&amp;"tłumu, zarządzanie kolejkami, mapa cieplna), bezpieczny element z certyfikatem FIPS 140-3 poziomu 3, wbudowane gniazdo na kartę microSD (do 1 TB), IP66/IP67, IK10, NEMA 4X, NEMA-TS 2 (2.2.7.2-8, 2.2.8, 2.2.9), temperatura pracy: -40°C~+50°C (-40°F~+122°F)"&amp;", zasilanie: PoE, ekranowane metalem gniazdo RJ-45.")</f>
        <v>Obsługiwana przez Wisenet 9, zewnętrzna kamera kopułkowa AI IR Vandal, rozdzielczość 5MP @ 30FPS, 3,3~9,3 mm (2,8x), (113°~47°) z napędem silnikowym, kodek H.265/H.264/MJPEG, widoczna długość podczerwieni 40 m (131,2 stopy), port USB-C do łatwej instalacji, tryb dzień i noc (ICR), extremeWDR (120 dB), kopułka z twardą powłoką, DIS ze wbudowanym czujnikiem żyroskopowym, Handover, oparta na sztucznej inteligencji technologia WiseStream, WiseNR Ⅱ (z wykorzystaniem silnika AI), dynamiczna maska ​​prywatności, zdarzenia IVA oparte na silniku AI (wykrywanie ruchu i obiektów, przekroczenie linii, obszar IVA, poślizg i upadek, klasyfikacja dźwięku), sklasyfikowane typy obiektów (osoba/twarz/pojazd/tablica rejestracyjna), atrybuty obiektu (osoba: płeć/kolor ubrania na górze/na dole/torba, Twarz: wiek/płeć/maska/okulary, pojazd: typ/kolor), BestShot, zdarzenia analityczne (rozmycie, ruch, manipulacja, mgła, wykrywanie dźwięku i wstrząsów), oparta na sztucznej inteligencji analiza biznesowa (zliczanie osób/pojazdów/tłumu, zarządzanie kolejkami, mapa cieplna), bezpieczny element z certyfikatem FIPS 140-3 poziomu 3, wbudowane gniazdo na kartę microSD (do 1 TB), IP66/IP67, IK10, NEMA 4X, NEMA-TS 2 (2.2.7.2-8, 2.2.8, 2.2.9), temperatura pracy: -40°C~+50°C (-40°F~+122°F), zasilanie: PoE, ekranowane metalem gniazdo RJ-45.</v>
      </c>
      <c r="K105" s="43" t="s">
        <v>21</v>
      </c>
      <c r="L105" s="44">
        <v>1450.0</v>
      </c>
      <c r="M105" s="8"/>
      <c r="N105" s="45" t="s">
        <v>22</v>
      </c>
      <c r="O105" s="97"/>
      <c r="P105" s="35"/>
      <c r="Q105" s="35"/>
      <c r="R105" s="68"/>
      <c r="S105" s="68"/>
      <c r="T105" s="68"/>
      <c r="U105" s="35"/>
      <c r="V105" s="35"/>
      <c r="W105" s="35"/>
      <c r="X105" s="35"/>
      <c r="Y105" s="35"/>
      <c r="Z105" s="35"/>
      <c r="AA105" s="35"/>
      <c r="AB105" s="35"/>
      <c r="AC105" s="101"/>
      <c r="AD105" s="98"/>
      <c r="AE105" s="98"/>
      <c r="AF105" s="98"/>
      <c r="AG105" s="98"/>
      <c r="AH105" s="98"/>
      <c r="AI105" s="98"/>
      <c r="AJ105" s="98"/>
      <c r="AK105" s="98"/>
      <c r="AL105" s="98"/>
      <c r="AM105" s="98"/>
      <c r="AN105" s="98"/>
      <c r="AO105" s="98"/>
      <c r="AP105" s="98"/>
    </row>
    <row r="106" ht="90.0" customHeight="1">
      <c r="A106" s="29"/>
      <c r="B106" s="38" t="s">
        <v>118</v>
      </c>
      <c r="C106" s="39" t="s">
        <v>422</v>
      </c>
      <c r="D106" s="40" t="s">
        <v>423</v>
      </c>
      <c r="E106" s="40" t="s">
        <v>174</v>
      </c>
      <c r="F106" s="40" t="s">
        <v>414</v>
      </c>
      <c r="G106" s="39" t="s">
        <v>255</v>
      </c>
      <c r="H106" s="41" t="s">
        <v>19</v>
      </c>
      <c r="I106" s="48" t="s">
        <v>424</v>
      </c>
      <c r="J106" s="42" t="str">
        <f>IFERROR(__xludf.DUMMYFUNCTION("GOOGLETRANSLATE(I106,""en"",""pl"")"),"Kamera zewnętrzna z płaskim okiem AI z serii Q, 5 MP @ 30 kl./s, obiektyw o stałej ogniskowej 3 mm (H: 97° / V: 53°), potrójny kodek H.265/H.264/MJPEG z Wisestream III, WDR 120 dB, podwójne światło – zasięg białej diody LED 30 m (98 stóp), widoczna długoś"&amp;"ć podczerwieni 30 m (98 stóp), wykrywanie ruchu na podstawie silnika AI, sklasyfikowany typ obiektu: osoba/pojazd (typ pojazdu: samochód/autobus/ciężarówka/motocykl/rower); Wydarzenia IVA oparte na silniku AI: wirtualna linia (przekroczenie/kierunek), wir"&amp;"tualny obszar (włóczęgostwo/wtargnięcie/wejście/wyjście/(zniknięcie)pojawienie się), wykrywanie braku ostrości, widok korytarza, karta SD, analiza wideo, IP66/IP67, IK10, PoE, temperatura pracy -40°C~+60°C(-40°F ~ +140°F), kolor biały")</f>
        <v>Kamera zewnętrzna z płaskim okiem AI z serii Q, 5 MP @ 30 kl./s, obiektyw o stałej ogniskowej 3 mm (H: 97° / V: 53°), potrójny kodek H.265/H.264/MJPEG z Wisestream III, WDR 120 dB, podwójne światło – zasięg białej diody LED 30 m (98 stóp), widoczna długość podczerwieni 30 m (98 stóp), wykrywanie ruchu na podstawie silnika AI, sklasyfikowany typ obiektu: osoba/pojazd (typ pojazdu: samochód/autobus/ciężarówka/motocykl/rower); Wydarzenia IVA oparte na silniku AI: wirtualna linia (przekroczenie/kierunek), wirtualny obszar (włóczęgostwo/wtargnięcie/wejście/wyjście/(zniknięcie)pojawienie się), wykrywanie braku ostrości, widok korytarza, karta SD, analiza wideo, IP66/IP67, IK10, PoE, temperatura pracy -40°C~+60°C(-40°F ~ +140°F), kolor biały</v>
      </c>
      <c r="K106" s="43" t="s">
        <v>21</v>
      </c>
      <c r="L106" s="44">
        <v>660.0</v>
      </c>
      <c r="M106" s="8"/>
      <c r="N106" s="45" t="s">
        <v>22</v>
      </c>
      <c r="O106" s="97"/>
      <c r="P106" s="35"/>
      <c r="Q106" s="35"/>
      <c r="R106" s="68"/>
      <c r="S106" s="68"/>
      <c r="T106" s="68"/>
      <c r="U106" s="35"/>
      <c r="V106" s="35"/>
      <c r="W106" s="35"/>
      <c r="X106" s="35"/>
      <c r="Y106" s="35"/>
      <c r="Z106" s="35"/>
      <c r="AA106" s="35"/>
      <c r="AB106" s="35"/>
      <c r="AC106" s="101"/>
      <c r="AD106" s="98"/>
      <c r="AE106" s="98"/>
      <c r="AF106" s="98"/>
      <c r="AG106" s="98"/>
      <c r="AH106" s="98"/>
      <c r="AI106" s="98"/>
      <c r="AJ106" s="98"/>
      <c r="AK106" s="98"/>
      <c r="AL106" s="98"/>
      <c r="AM106" s="98"/>
      <c r="AN106" s="98"/>
      <c r="AO106" s="98"/>
      <c r="AP106" s="98"/>
    </row>
    <row r="107" ht="112.5" customHeight="1">
      <c r="A107" s="29"/>
      <c r="B107" s="38" t="s">
        <v>118</v>
      </c>
      <c r="C107" s="39" t="s">
        <v>425</v>
      </c>
      <c r="D107" s="40" t="s">
        <v>413</v>
      </c>
      <c r="E107" s="40" t="s">
        <v>174</v>
      </c>
      <c r="F107" s="40" t="s">
        <v>414</v>
      </c>
      <c r="G107" s="39" t="s">
        <v>192</v>
      </c>
      <c r="H107" s="41" t="s">
        <v>19</v>
      </c>
      <c r="I107" s="48" t="s">
        <v>426</v>
      </c>
      <c r="J107" s="42" t="str">
        <f>IFERROR(__xludf.DUMMYFUNCTION("GOOGLETRANSLATE(I107,""en"",""pl"")"),"Kopułkowa kamera sieciowa AI serii Q, 5 MP @ 30 kl./s, obiektyw stały 3 mm (H: 100°/V: 73°), potrójny kodek H.265/H.264/MJPEG z technologią WiseStream III, WiseNRⅡ (na podstawie silnika AI), WDR 120 dB, widoczna długość podczerwieni 25 m (82,02 stopy), wb"&amp;"udowany mikrofon, wykrywanie ruchu na podstawie silnika AI, zdarzenia analityczne na podstawie silnika AI: Sklasyfikowany typ obiektu: [Osoba/Pojazd]; Atrybuty: Pojazd [Rodzaj i kolor: (samochód/autobus/ciężarówka/motocykl/rower)], Osoba [kolor górnej i d"&amp;"olnej części ubrania]; BestShot, wirtualna linia, wirtualny obszar, wykrywanie braku ostrości, widok korytarza, dynamiczne maskowanie prywatności, wbudowane gniazdo na kartę SD (1x256 GB), analiza wideo, USB dla łatwej instalacji, otwarta platforma, PoE, "&amp;"temperatura pracy od -10°C do +45°C (od +14°F do +113°F), kolor biały. * Wejście/wyjście alarmu jest obsługiwane przez opcjonalny kabel (SPP-C7200).")</f>
        <v>Kopułkowa kamera sieciowa AI serii Q, 5 MP @ 30 kl./s, obiektyw stały 3 mm (H: 100°/V: 73°), potrójny kodek H.265/H.264/MJPEG z technologią WiseStream III, WiseNRⅡ (na podstawie silnika AI), WDR 120 dB, widoczna długość podczerwieni 25 m (82,02 stopy), wbudowany mikrofon,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(1x256 GB), analiza wideo, USB dla łatwej instalacji, otwarta platforma, PoE, temperatura pracy od -10°C do +45°C (od +14°F do +113°F), kolor biały. * Wejście/wyjście alarmu jest obsługiwane przez opcjonalny kabel (SPP-C7200).</v>
      </c>
      <c r="K107" s="43" t="s">
        <v>21</v>
      </c>
      <c r="L107" s="44">
        <v>480.0</v>
      </c>
      <c r="M107" s="8"/>
      <c r="N107" s="45" t="s">
        <v>22</v>
      </c>
      <c r="O107" s="97"/>
      <c r="P107" s="36"/>
      <c r="Q107" s="35"/>
      <c r="R107" s="68"/>
      <c r="S107" s="68"/>
      <c r="T107" s="68"/>
      <c r="U107" s="35"/>
      <c r="V107" s="35"/>
      <c r="W107" s="35"/>
      <c r="X107" s="35"/>
      <c r="Y107" s="35"/>
      <c r="Z107" s="35"/>
      <c r="AA107" s="35"/>
      <c r="AB107" s="35"/>
      <c r="AC107" s="60"/>
      <c r="AD107" s="85"/>
      <c r="AE107" s="85"/>
      <c r="AF107" s="85"/>
      <c r="AG107" s="85"/>
      <c r="AH107" s="85"/>
      <c r="AI107" s="85"/>
      <c r="AJ107" s="85"/>
      <c r="AK107" s="85"/>
      <c r="AL107" s="85"/>
      <c r="AM107" s="85"/>
      <c r="AN107" s="85"/>
      <c r="AO107" s="85"/>
      <c r="AP107" s="85"/>
    </row>
    <row r="108" ht="117.0" customHeight="1">
      <c r="A108" s="29"/>
      <c r="B108" s="38" t="s">
        <v>118</v>
      </c>
      <c r="C108" s="39" t="s">
        <v>427</v>
      </c>
      <c r="D108" s="40" t="s">
        <v>413</v>
      </c>
      <c r="E108" s="40" t="s">
        <v>174</v>
      </c>
      <c r="F108" s="40" t="s">
        <v>414</v>
      </c>
      <c r="G108" s="39" t="s">
        <v>192</v>
      </c>
      <c r="H108" s="41" t="s">
        <v>19</v>
      </c>
      <c r="I108" s="48" t="s">
        <v>428</v>
      </c>
      <c r="J108" s="42" t="str">
        <f>IFERROR(__xludf.DUMMYFUNCTION("GOOGLETRANSLATE(I108,""en"",""pl"")"),"Kopułkowa kamera sieciowa AI serii Q, 5 MP @ 30 kl./s, obiektyw stały 4 mm (H: 80°/V: 59°), potrójny kodek H.265/H.264/MJPEG z technologią WiseStream III, WiseNRⅡ (na podstawie silnika AI), WDR 120 dB, widoczna długość podczerwieni 30 m (98,42 stopy), wbu"&amp;"dowany mikrofon, wykrywanie ruchu na podstawie silnika AI, zdarzenia analityczne na podstawie silnika AI: Sklasyfikowany typ obiektu: [Osoba/Pojazd]; Atrybuty: Pojazd [Rodzaj i kolor: (samochód/autobus/ciężarówka/motocykl/rower)], Osoba [kolor górnej i do"&amp;"lnej części ubrania]; BestShot, wirtualna linia, wirtualny obszar, wykrywanie braku ostrości, widok korytarza, dynamiczne maskowanie prywatności, wbudowane gniazdo na kartę SD (1x256 GB), analiza wideo, USB dla łatwej instalacji, otwarta platforma, PoE, t"&amp;"emperatura pracy od -10°C do +45°C (od +14°F do +113°F), kolor biały. * Wejście/wyjście alarmu jest obsługiwane przez opcjonalny kabel (SPP-C7200).")</f>
        <v>Kopułkowa kamera sieciowa AI serii Q, 5 MP @ 30 kl./s, obiektyw stały 4 mm (H: 80°/V: 59°), potrójny kodek H.265/H.264/MJPEG z technologią WiseStream III, WiseNRⅡ (na podstawie silnika AI), WDR 120 dB, widoczna długość podczerwieni 30 m (98,42 stopy), wbudowany mikrofon,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(1x256 GB), analiza wideo, USB dla łatwej instalacji, otwarta platforma, PoE, temperatura pracy od -10°C do +45°C (od +14°F do +113°F), kolor biały. * Wejście/wyjście alarmu jest obsługiwane przez opcjonalny kabel (SPP-C7200).</v>
      </c>
      <c r="K108" s="43" t="s">
        <v>21</v>
      </c>
      <c r="L108" s="44">
        <v>480.0</v>
      </c>
      <c r="M108" s="8"/>
      <c r="N108" s="45" t="s">
        <v>22</v>
      </c>
      <c r="O108" s="97"/>
      <c r="P108" s="36"/>
      <c r="Q108" s="35"/>
      <c r="R108" s="68"/>
      <c r="S108" s="68"/>
      <c r="T108" s="68"/>
      <c r="U108" s="35"/>
      <c r="V108" s="35"/>
      <c r="W108" s="35"/>
      <c r="X108" s="35"/>
      <c r="Y108" s="35"/>
      <c r="Z108" s="35"/>
      <c r="AA108" s="35"/>
      <c r="AB108" s="35"/>
      <c r="AC108" s="60"/>
      <c r="AD108" s="85"/>
      <c r="AE108" s="85"/>
      <c r="AF108" s="85"/>
      <c r="AG108" s="85"/>
      <c r="AH108" s="85"/>
      <c r="AI108" s="85"/>
      <c r="AJ108" s="85"/>
      <c r="AK108" s="85"/>
      <c r="AL108" s="85"/>
      <c r="AM108" s="85"/>
      <c r="AN108" s="85"/>
      <c r="AO108" s="85"/>
      <c r="AP108" s="85"/>
    </row>
    <row r="109" ht="114.0" customHeight="1">
      <c r="A109" s="29"/>
      <c r="B109" s="38" t="s">
        <v>118</v>
      </c>
      <c r="C109" s="39" t="s">
        <v>429</v>
      </c>
      <c r="D109" s="40" t="s">
        <v>417</v>
      </c>
      <c r="E109" s="40" t="s">
        <v>174</v>
      </c>
      <c r="F109" s="40" t="s">
        <v>414</v>
      </c>
      <c r="G109" s="39" t="s">
        <v>18</v>
      </c>
      <c r="H109" s="41" t="s">
        <v>19</v>
      </c>
      <c r="I109" s="48" t="s">
        <v>430</v>
      </c>
      <c r="J109" s="42" t="str">
        <f>IFERROR(__xludf.DUMMYFUNCTION("GOOGLETRANSLATE(I109,""en"",""pl"")"),"Kamera zewnętrzna Q sesries AI network outdoor vandal bullet, 5MP @ 30fps, obiektyw zmiennoogniskowy z napędem silnikowym 3,2~10,2mm (H: 95°~29° / V: 69°~21°), potrójny kodek H.265/H.264/MJPEG z Wisestream III (na podstawie silnika AI), WiseNRⅡ (na podsta"&amp;"wie silnika AI), WDR 120dB, widoczna długość podczerwieni 30m (98ft), WiseMD na podstawie silnika AI, sklasyfikowany typ obiektu: Osoba/Pojazd (typ pojazdu: samochód/autobus/ciężarówka/motocykl/rower); Wydarzenia IVA oparte na silniku AI: linia wirtualna "&amp;"(przekroczenie/kierunek), obszar wirtualny (włóczęgostwo/wtargnięcie/wejście/wyjście/(zniknięcie)pojawienie się), *Dźwięk: do wyboru (wejście mikrofonowe/wejście liniowe), wykrywanie braku ostrości, widok korytarzowy, wbudowane gniazdo na kartę SD (1x256 "&amp;"GB), analiza wideo, USB dla łatwej instalacji, otwarta platforma, IP66, IK10, PoE, temperatura pracy -30°C~+55°C(-22°F ~ +131°F), kolor biały.")</f>
        <v>Kamera zewnętrzna Q sesries AI network outdoor vandal bullet, 5MP @ 30fps, obiektyw zmiennoogniskowy z napędem silnikowym 3,2~10,2mm (H: 95°~29° / V: 69°~21°), potrójny kodek H.265/H.264/MJPEG z Wisestream III (na podstawie silnika AI), WiseNRⅡ (na podstawie silnika AI), WDR 120dB, widoczna długość podczerwieni 30m (98ft), WiseMD na podstawie silnika AI, sklasyfikowany typ obiektu: Osoba/Pojazd (typ pojazdu: samochód/autobus/ciężarówka/motocykl/rower); Wydarzenia IVA oparte na silniku AI: linia wirtualna (przekroczenie/kierunek), obszar wirtualny (włóczęgostwo/wtargnięcie/wejście/wyjście/(zniknięcie)pojawienie się), *Dźwięk: do wyboru (wejście mikrofonowe/wejście liniowe), wykrywanie braku ostrości, widok korytarzowy, wbudowane gniazdo na kartę SD (1x256 GB), analiza wideo, USB dla łatwej instalacji, otwarta platforma, IP66, IK10, PoE, temperatura pracy -30°C~+55°C(-22°F ~ +131°F), kolor biały.</v>
      </c>
      <c r="K109" s="43" t="s">
        <v>21</v>
      </c>
      <c r="L109" s="44">
        <v>790.0</v>
      </c>
      <c r="M109" s="8"/>
      <c r="N109" s="45" t="s">
        <v>22</v>
      </c>
      <c r="O109" s="97"/>
      <c r="P109" s="36"/>
      <c r="Q109" s="35"/>
      <c r="R109" s="68"/>
      <c r="S109" s="68"/>
      <c r="T109" s="68"/>
      <c r="U109" s="35"/>
      <c r="V109" s="35"/>
      <c r="W109" s="35"/>
      <c r="X109" s="35"/>
      <c r="Y109" s="35"/>
      <c r="Z109" s="35"/>
      <c r="AA109" s="35"/>
      <c r="AB109" s="35"/>
      <c r="AC109" s="60"/>
      <c r="AD109" s="85"/>
      <c r="AE109" s="85"/>
      <c r="AF109" s="85"/>
      <c r="AG109" s="85"/>
      <c r="AH109" s="85"/>
      <c r="AI109" s="85"/>
      <c r="AJ109" s="85"/>
      <c r="AK109" s="85"/>
      <c r="AL109" s="85"/>
      <c r="AM109" s="85"/>
      <c r="AN109" s="85"/>
      <c r="AO109" s="85"/>
      <c r="AP109" s="85"/>
    </row>
    <row r="110" ht="99.0" customHeight="1">
      <c r="A110" s="29"/>
      <c r="B110" s="38" t="s">
        <v>118</v>
      </c>
      <c r="C110" s="39" t="s">
        <v>431</v>
      </c>
      <c r="D110" s="40" t="s">
        <v>417</v>
      </c>
      <c r="E110" s="40" t="s">
        <v>174</v>
      </c>
      <c r="F110" s="40" t="s">
        <v>414</v>
      </c>
      <c r="G110" s="39" t="s">
        <v>18</v>
      </c>
      <c r="H110" s="41" t="s">
        <v>19</v>
      </c>
      <c r="I110" s="48" t="s">
        <v>432</v>
      </c>
      <c r="J110" s="42" t="str">
        <f>IFERROR(__xludf.DUMMYFUNCTION("GOOGLETRANSLATE(I110,""en"",""pl"")"),"Kamera zewnętrzna z serii Q AI, sieciowa, typu bullet, wandaloodporna, 5 MP @ 30 kl./s, obiektyw stały 3 mm (H: 100°/V: 73°), potrójny kodek H.265/H.264/MJPEG z technologią WiseStream III, WiseNRⅡ (na podstawie silnika AI), WDR 120 dB, widoczna długość po"&amp;"dczerwieni 25 m (82,02 stopy), wykrywanie ruchu na podstawie silnika AI, zdarzenia analityczne na podstawie silnika AI: Sklasyfikowany typ obiektu: [Osoba/Pojazd]; Atrybuty: Pojazd [Rodzaj i kolor: (samochód/autobus/ciężarówka/motocykl/rower)], Osoba [kol"&amp;"or górnej i dolnej części ubrania]; BestShot, wirtualna linia, wirtualny obszar], wykrywanie braku ostrości, widok korytarza, dynamiczne maskowanie prywatności, wbudowane gniazdo na kartę SD (1x256 GB), analiza wideo, USB dla łatwej instalacji, otwarta pl"&amp;"atforma, IP66, IK10, PoE, temperatura pracy -30°C~+55°C(-22°F ~ +131°F), kolor biały.")</f>
        <v>Kamera zewnętrzna z serii Q AI, sieciowa, typu bullet, wandaloodporna, 5 MP @ 30 kl./s, obiektyw stały 3 mm (H: 100°/V: 73°), potrójny kodek H.265/H.264/MJPEG z technologią WiseStream III, WiseNRⅡ (na podstawie silnika AI), WDR 120 dB, widoczna długość podczerwieni 25 m (82,02 stopy),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(1x256 GB), analiza wideo, USB dla łatwej instalacji, otwarta platforma, IP66, IK10, PoE, temperatura pracy -30°C~+55°C(-22°F ~ +131°F), kolor biały.</v>
      </c>
      <c r="K110" s="43" t="s">
        <v>21</v>
      </c>
      <c r="L110" s="44">
        <v>600.0</v>
      </c>
      <c r="M110" s="8"/>
      <c r="N110" s="45" t="s">
        <v>22</v>
      </c>
      <c r="O110" s="97"/>
      <c r="P110" s="36"/>
      <c r="Q110" s="35"/>
      <c r="R110" s="68"/>
      <c r="S110" s="68"/>
      <c r="T110" s="68"/>
      <c r="U110" s="35"/>
      <c r="V110" s="35"/>
      <c r="W110" s="35"/>
      <c r="X110" s="35"/>
      <c r="Y110" s="35"/>
      <c r="Z110" s="35"/>
      <c r="AA110" s="35"/>
      <c r="AB110" s="35"/>
      <c r="AC110" s="60"/>
      <c r="AD110" s="85"/>
      <c r="AE110" s="85"/>
      <c r="AF110" s="85"/>
      <c r="AG110" s="85"/>
      <c r="AH110" s="85"/>
      <c r="AI110" s="85"/>
      <c r="AJ110" s="85"/>
      <c r="AK110" s="85"/>
      <c r="AL110" s="85"/>
      <c r="AM110" s="85"/>
      <c r="AN110" s="85"/>
      <c r="AO110" s="85"/>
      <c r="AP110" s="85"/>
    </row>
    <row r="111" ht="108.0" customHeight="1">
      <c r="A111" s="29"/>
      <c r="B111" s="38" t="s">
        <v>118</v>
      </c>
      <c r="C111" s="39" t="s">
        <v>433</v>
      </c>
      <c r="D111" s="40" t="s">
        <v>417</v>
      </c>
      <c r="E111" s="40" t="s">
        <v>174</v>
      </c>
      <c r="F111" s="40" t="s">
        <v>414</v>
      </c>
      <c r="G111" s="39" t="s">
        <v>18</v>
      </c>
      <c r="H111" s="41" t="s">
        <v>19</v>
      </c>
      <c r="I111" s="48" t="s">
        <v>434</v>
      </c>
      <c r="J111" s="42" t="str">
        <f>IFERROR(__xludf.DUMMYFUNCTION("GOOGLETRANSLATE(I111,""en"",""pl"")"),"Kamera zewnętrzna z serii Q AI, sieciowa, typu bullet, antywandalowa, 5 MP @ 30 kl./s, obiektyw stały 4 mm (H: 80°/V: 59°), potrójny kodek H.265/H.264/MJPEG z technologią WiseStream III, WiseNRⅡ (na podstawie silnika AI), WDR 120 dB, widoczna długość podc"&amp;"zerwieni 30 m (98,42 stopy), wykrywanie ruchu na podstawie silnika AI, zdarzenia analityczne na podstawie silnika AI: Sklasyfikowany typ obiektu: [Osoba/Pojazd]; Atrybuty: Pojazd [Rodzaj i kolor: (samochód/autobus/ciężarówka/motocykl/rower)], Osoba [kolor"&amp;" górnej i dolnej części ubrania]; BestShot, wirtualna linia, wirtualny obszar], wykrywanie braku ostrości, widok korytarza, dynamiczne maskowanie prywatności, wbudowane gniazdo na kartę SD (1x256 GB), analiza wideo, USB dla łatwej instalacji, otwarta plat"&amp;"forma, IP66, IK10, PoE, temperatura pracy -30°C~+55°C(-22°F ~ +131°F), kolor biały.")</f>
        <v>Kamera zewnętrzna z serii Q AI, sieciowa, typu bullet, antywandalowa, 5 MP @ 30 kl./s, obiektyw stały 4 mm (H: 80°/V: 59°), potrójny kodek H.265/H.264/MJPEG z technologią WiseStream III, WiseNRⅡ (na podstawie silnika AI), WDR 120 dB, widoczna długość podczerwieni 30 m (98,42 stopy),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(1x256 GB), analiza wideo, USB dla łatwej instalacji, otwarta platforma, IP66, IK10, PoE, temperatura pracy -30°C~+55°C(-22°F ~ +131°F), kolor biały.</v>
      </c>
      <c r="K111" s="43" t="s">
        <v>21</v>
      </c>
      <c r="L111" s="44">
        <v>600.0</v>
      </c>
      <c r="M111" s="8"/>
      <c r="N111" s="45" t="s">
        <v>22</v>
      </c>
      <c r="O111" s="97"/>
      <c r="P111" s="36"/>
      <c r="Q111" s="35"/>
      <c r="R111" s="68"/>
      <c r="S111" s="68"/>
      <c r="T111" s="68"/>
      <c r="U111" s="35"/>
      <c r="V111" s="35"/>
      <c r="W111" s="35"/>
      <c r="X111" s="35"/>
      <c r="Y111" s="35"/>
      <c r="Z111" s="35"/>
      <c r="AA111" s="35"/>
      <c r="AB111" s="35"/>
      <c r="AC111" s="60"/>
      <c r="AD111" s="85"/>
      <c r="AE111" s="85"/>
      <c r="AF111" s="85"/>
      <c r="AG111" s="85"/>
      <c r="AH111" s="85"/>
      <c r="AI111" s="85"/>
      <c r="AJ111" s="85"/>
      <c r="AK111" s="85"/>
      <c r="AL111" s="85"/>
      <c r="AM111" s="85"/>
      <c r="AN111" s="85"/>
      <c r="AO111" s="85"/>
      <c r="AP111" s="85"/>
    </row>
    <row r="112" ht="117.0" customHeight="1">
      <c r="A112" s="29"/>
      <c r="B112" s="38" t="s">
        <v>118</v>
      </c>
      <c r="C112" s="39" t="s">
        <v>435</v>
      </c>
      <c r="D112" s="40" t="s">
        <v>436</v>
      </c>
      <c r="E112" s="40" t="s">
        <v>174</v>
      </c>
      <c r="F112" s="40" t="s">
        <v>414</v>
      </c>
      <c r="G112" s="39" t="s">
        <v>184</v>
      </c>
      <c r="H112" s="41" t="s">
        <v>19</v>
      </c>
      <c r="I112" s="48" t="s">
        <v>437</v>
      </c>
      <c r="J112" s="42" t="str">
        <f>IFERROR(__xludf.DUMMYFUNCTION("GOOGLETRANSLATE(I112,""en"",""pl"")"),"Kamera kopułkowa AI serii Q do użytku na zewnątrz, sieciowa, antywandalowa, 5 MP @ 30 kl./s, obiektyw zmiennoogniskowy z napędem silnikowym 3,2~10,2 mm (H: 95°~29° / V: 69°~21°), potrójny kodek H.265/H.264/MJPEG z Wisestream III (na podstawie silnika AI),"&amp;" WiseNRⅡ (na podstawie silnika AI), WDR 120 dB, widoczna długość podczerwieni 30 m (98 stóp), WiseMD na podstawie silnika AI, sklasyfikowany typ obiektu: osoba/pojazd (typ pojazdu: samochód/autobus/ciężarówka/motocykl/rower); Zdarzenia IVA oparte na silni"&amp;"ku AI: wirtualna linia (przekroczenie/kierunek), wirtualny obszar (włóczęgostwo/wtargnięcie/wejście/wyjście/(zniknięcie)pojawienie się), * dźwięk: do wyboru (wejście mikrofonowe/wejście liniowe), wykrywanie braku ostrości, widok korytarzowy, wbudowane gni"&amp;"azdo na kartę SD (1 x 256 GB), analiza wideo, USB dla łatwej instalacji, otwarta platforma, IP66, IK10, PoE, temperatura pracy od -30°C do +55°C (od -22°F do +131°F), kolor biały. * wejścia/wyjścia alarmowe i dźwięk są obsługiwane przez opcjonalny kabel ("&amp;"SPP-C7400).")</f>
        <v>Kamera kopułkowa AI serii Q do użytku na zewnątrz, sieciowa, antywandalowa, 5 MP @ 30 kl./s, obiektyw zmiennoogniskowy z napędem silnikowym 3,2~10,2 mm (H: 95°~29° / V: 69°~21°), potrójny kodek H.265/H.264/MJPEG z Wisestream III (na podstawie silnika AI), WiseNRⅡ (na podstawie silnika AI), WDR 120 dB, widoczna długość podczerwieni 30 m (98 stóp), WiseMD na podstawie silnika AI, sklasyfikowany typ obiektu: osoba/pojazd (typ pojazdu: samochód/autobus/ciężarówka/motocykl/rower); Zdarzenia IVA oparte na silniku AI: wirtualna linia (przekroczenie/kierunek), wirtualny obszar (włóczęgostwo/wtargnięcie/wejście/wyjście/(zniknięcie)pojawienie się), * dźwięk: do wyboru (wejście mikrofonowe/wejście liniowe), wykrywanie braku ostrości, widok korytarzowy, wbudowane gniazdo na kartę SD (1 x 256 GB), analiza wideo, USB dla łatwej instalacji, otwarta platforma, IP66, IK10, PoE, temperatura pracy od -30°C do +55°C (od -22°F do +131°F), kolor biały. * wejścia/wyjścia alarmowe i dźwięk są obsługiwane przez opcjonalny kabel (SPP-C7400).</v>
      </c>
      <c r="K112" s="43" t="s">
        <v>21</v>
      </c>
      <c r="L112" s="44">
        <v>790.0</v>
      </c>
      <c r="M112" s="8"/>
      <c r="N112" s="45" t="s">
        <v>22</v>
      </c>
      <c r="O112" s="97"/>
      <c r="P112" s="36"/>
      <c r="Q112" s="35"/>
      <c r="R112" s="68"/>
      <c r="S112" s="68"/>
      <c r="T112" s="68"/>
      <c r="U112" s="35"/>
      <c r="V112" s="35"/>
      <c r="W112" s="35"/>
      <c r="X112" s="35"/>
      <c r="Y112" s="35"/>
      <c r="Z112" s="35"/>
      <c r="AA112" s="35"/>
      <c r="AB112" s="35"/>
      <c r="AC112" s="60"/>
      <c r="AD112" s="85"/>
      <c r="AE112" s="85"/>
      <c r="AF112" s="85"/>
      <c r="AG112" s="85"/>
      <c r="AH112" s="85"/>
      <c r="AI112" s="85"/>
      <c r="AJ112" s="85"/>
      <c r="AK112" s="85"/>
      <c r="AL112" s="85"/>
      <c r="AM112" s="85"/>
      <c r="AN112" s="85"/>
      <c r="AO112" s="85"/>
      <c r="AP112" s="85"/>
    </row>
    <row r="113" ht="117.0" customHeight="1">
      <c r="A113" s="29"/>
      <c r="B113" s="38" t="s">
        <v>118</v>
      </c>
      <c r="C113" s="39" t="s">
        <v>438</v>
      </c>
      <c r="D113" s="40" t="s">
        <v>436</v>
      </c>
      <c r="E113" s="40" t="s">
        <v>174</v>
      </c>
      <c r="F113" s="40" t="s">
        <v>414</v>
      </c>
      <c r="G113" s="39" t="s">
        <v>184</v>
      </c>
      <c r="H113" s="41" t="s">
        <v>19</v>
      </c>
      <c r="I113" s="48" t="s">
        <v>439</v>
      </c>
      <c r="J113" s="42" t="str">
        <f>IFERROR(__xludf.DUMMYFUNCTION("GOOGLETRANSLATE(I113,""en"",""pl"")"),"Kamera kopułkowa AI serii Q z miniaturową siecią i zabezpieczeniem przed wandalizmem, 5 MP @ 30 kl./s, obiektyw stały 3 mm (H: 100°/V: 73°), potrójny kodek H.265/H.264/MJPEG z technologią WiseStream III, WiseNRⅡ (na podstawie silnika AI), WDR 120 dB, wido"&amp;"czna długość podczerwieni 25 m (82,02 stopy), wykrywanie ruchu na podstawie silnika AI, zdarzenia analityczne na podstawie silnika AI: Sklasyfikowany typ obiektu: [Osoba/Pojazd]; Atrybuty: Pojazd [Rodzaj i kolor: (samochód/autobus/ciężarówka/motocykl/rowe"&amp;"r)], Osoba [kolor górnej i dolnej części ubrania]; BestShot, wirtualna linia, wirtualny obszar, wykrywanie braku ostrości, widok korytarza, dynamiczne maskowanie prywatności, wbudowane gniazdo na kartę SD (1 x 256 GB), analiza wideo, USB dla łatwej instal"&amp;"acji, otwarta platforma, IP66, IK10, PoE, temperatura pracy od -30°C do +55°C (od -22°F do +131°F), kolor biały. * Wejście/wyjście alarmowe i dźwięk obsługiwane przez opcjonalny kabel (SPP-C7400)")</f>
        <v>Kamera kopułkowa AI serii Q z miniaturową siecią i zabezpieczeniem przed wandalizmem, 5 MP @ 30 kl./s, obiektyw stały 3 mm (H: 100°/V: 73°), potrójny kodek H.265/H.264/MJPEG z technologią WiseStream III, WiseNRⅡ (na podstawie silnika AI), WDR 120 dB, widoczna długość podczerwieni 25 m (82,02 stopy),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 x 256 GB), analiza wideo, USB dla łatwej instalacji, otwarta platforma, IP66, IK10, PoE, temperatura pracy od -30°C do +55°C (od -22°F do +131°F), kolor biały. * Wejście/wyjście alarmowe i dźwięk obsługiwane przez opcjonalny kabel (SPP-C7400)</v>
      </c>
      <c r="K113" s="43" t="s">
        <v>21</v>
      </c>
      <c r="L113" s="44">
        <v>600.0</v>
      </c>
      <c r="M113" s="8"/>
      <c r="N113" s="45" t="s">
        <v>22</v>
      </c>
      <c r="O113" s="97"/>
      <c r="P113" s="36"/>
      <c r="Q113" s="35"/>
      <c r="R113" s="68"/>
      <c r="S113" s="68"/>
      <c r="T113" s="68"/>
      <c r="U113" s="35"/>
      <c r="V113" s="35"/>
      <c r="W113" s="35"/>
      <c r="X113" s="35"/>
      <c r="Y113" s="35"/>
      <c r="Z113" s="35"/>
      <c r="AA113" s="35"/>
      <c r="AB113" s="35"/>
      <c r="AC113" s="60"/>
      <c r="AD113" s="85"/>
      <c r="AE113" s="85"/>
      <c r="AF113" s="85"/>
      <c r="AG113" s="85"/>
      <c r="AH113" s="85"/>
      <c r="AI113" s="85"/>
      <c r="AJ113" s="85"/>
      <c r="AK113" s="85"/>
      <c r="AL113" s="85"/>
      <c r="AM113" s="85"/>
      <c r="AN113" s="85"/>
      <c r="AO113" s="85"/>
      <c r="AP113" s="85"/>
    </row>
    <row r="114" ht="111.75" customHeight="1">
      <c r="A114" s="29"/>
      <c r="B114" s="38" t="s">
        <v>118</v>
      </c>
      <c r="C114" s="39" t="s">
        <v>440</v>
      </c>
      <c r="D114" s="40" t="s">
        <v>436</v>
      </c>
      <c r="E114" s="40" t="s">
        <v>174</v>
      </c>
      <c r="F114" s="40" t="s">
        <v>414</v>
      </c>
      <c r="G114" s="39" t="s">
        <v>184</v>
      </c>
      <c r="H114" s="41" t="s">
        <v>19</v>
      </c>
      <c r="I114" s="48" t="s">
        <v>441</v>
      </c>
      <c r="J114" s="42" t="str">
        <f>IFERROR(__xludf.DUMMYFUNCTION("GOOGLETRANSLATE(I114,""en"",""pl"")"),"Kamera kopułkowa AI serii Q z miniaturową siecią i zabezpieczeniem przed wandalizmem, 5 MP @ 30 kl./s, obiektyw stały 4 mm (H: 80°/V: 59°), potrójny kodek H.265/H.264/MJPEG z technologią WiseStream III, WiseNRⅡ (na podstawie silnika AI), WDR 120 dB, widoc"&amp;"zna długość podczerwieni 30 m (98,42 stopy), wykrywanie ruchu na podstawie silnika AI, zdarzenia analityczne na podstawie silnika AI: Sklasyfikowany typ obiektu: [Osoba/Pojazd]; Atrybuty: Pojazd [Rodzaj i kolor: (samochód/autobus/ciężarówka/motocykl/rower"&amp;")], Osoba [kolor górnej i dolnej części ubrania]; BestShot, wirtualna linia, wirtualny obszar, wykrywanie braku ostrości, widok korytarza, dynamiczne maskowanie prywatności, wbudowane gniazdo na kartę SD (1 x 256 GB), analiza wideo, USB dla łatwej instala"&amp;"cji, otwarta platforma, IP66, IK10, PoE, temperatura pracy od -30°C do +55°C (od -22°F do +131°F), kolor biały. * Wejście/wyjście alarmowe i dźwięk obsługiwane przez opcjonalny kabel (SPP-C7400)")</f>
        <v>Kamera kopułkowa AI serii Q z miniaturową siecią i zabezpieczeniem przed wandalizmem, 5 MP @ 30 kl./s, obiektyw stały 4 mm (H: 80°/V: 59°), potrójny kodek H.265/H.264/MJPEG z technologią WiseStream III, WiseNRⅡ (na podstawie silnika AI), WDR 120 dB, widoczna długość podczerwieni 30 m (98,42 stopy), wykrywanie ruchu na podstawie silnika AI, zdarzenia analityczne na podstawie silnika AI: Sklasyfikowany typ obiektu: [Osoba/Pojazd]; Atrybuty: Pojazd [Rodzaj i kolor: (samochód/autobus/ciężarówka/motocykl/rower)], Osoba [kolor górnej i dolnej części ubrania]; BestShot, wirtualna linia, wirtualny obszar, wykrywanie braku ostrości, widok korytarza, dynamiczne maskowanie prywatności, wbudowane gniazdo na kartę SD (1 x 256 GB), analiza wideo, USB dla łatwej instalacji, otwarta platforma, IP66, IK10, PoE, temperatura pracy od -30°C do +55°C (od -22°F do +131°F), kolor biały. * Wejście/wyjście alarmowe i dźwięk obsługiwane przez opcjonalny kabel (SPP-C7400)</v>
      </c>
      <c r="K114" s="43" t="s">
        <v>21</v>
      </c>
      <c r="L114" s="44">
        <v>600.0</v>
      </c>
      <c r="M114" s="8"/>
      <c r="N114" s="45" t="s">
        <v>22</v>
      </c>
      <c r="O114" s="97"/>
      <c r="P114" s="36"/>
      <c r="Q114" s="35"/>
      <c r="R114" s="68"/>
      <c r="S114" s="68"/>
      <c r="T114" s="68"/>
      <c r="U114" s="35"/>
      <c r="V114" s="35"/>
      <c r="W114" s="35"/>
      <c r="X114" s="35"/>
      <c r="Y114" s="35"/>
      <c r="Z114" s="35"/>
      <c r="AA114" s="35"/>
      <c r="AB114" s="35"/>
      <c r="AC114" s="60"/>
      <c r="AD114" s="85"/>
      <c r="AE114" s="85"/>
      <c r="AF114" s="85"/>
      <c r="AG114" s="85"/>
      <c r="AH114" s="85"/>
      <c r="AI114" s="85"/>
      <c r="AJ114" s="85"/>
      <c r="AK114" s="85"/>
      <c r="AL114" s="85"/>
      <c r="AM114" s="85"/>
      <c r="AN114" s="85"/>
      <c r="AO114" s="85"/>
      <c r="AP114" s="85"/>
    </row>
    <row r="115" ht="46.5" customHeight="1">
      <c r="A115" s="29"/>
      <c r="B115" s="38" t="s">
        <v>118</v>
      </c>
      <c r="C115" s="39" t="s">
        <v>442</v>
      </c>
      <c r="D115" s="40" t="s">
        <v>443</v>
      </c>
      <c r="E115" s="40" t="s">
        <v>174</v>
      </c>
      <c r="F115" s="40" t="s">
        <v>414</v>
      </c>
      <c r="G115" s="40" t="s">
        <v>184</v>
      </c>
      <c r="H115" s="41" t="s">
        <v>19</v>
      </c>
      <c r="I115" s="48" t="s">
        <v>444</v>
      </c>
      <c r="J115" s="42" t="str">
        <f>IFERROR(__xludf.DUMMYFUNCTION("GOOGLETRANSLATE(I115,""en"",""pl"")"),"Seria Q AI sieciowa kamera kopułkowa IR Micro Vandal, 5 MP @30fps, obiektyw stały 3,0 mm, potrójny kodek H.265/H.264/MJPEG, strumieniowanie wielokrotne do 5 profili, WDR 120 dB, dzień i noc (ICR), diody LED IR dużej mocy z widoczną długością podczerwieni "&amp;"20 m, zdarzenia analityczne oparte na silniku AI: wykrywanie obiektów (osoba/pojazd — samochód, ciężarówka, autobus, rower, motocykl), IVA (wirtualna linia/obszar, wejście/wyjście, wałęsanie się, kierunek, wtargnięcie), zdarzenia analityczne: wykrywanie b"&amp;"raku ostrości, manipulacja, pojedyncze gniazdo microSD/SDHC/SDXC, ONVIF S/G/T/M, port USB ułatwiający instalację, IP66, IK10, NEMA4X, PoE, biały")</f>
        <v>Seria Q AI sieciowa kamera kopułkowa IR Micro Vandal, 5 MP @30fps, obiektyw stały 3,0 mm, potrójny kodek H.265/H.264/MJPEG, strumieniowanie wielokrotne do 5 profili, WDR 120 dB, dzień i noc (ICR), diody LED IR dużej mocy z widoczną długością podczerwieni 20 m, zdarzenia analityczne oparte na silniku AI: wykrywanie obiektów (osoba/pojazd — samochód, ciężarówka, autobus, rower, motocykl), IVA (wirtualna linia/obszar, wejście/wyjście, wałęsanie się, kierunek, wtargnięcie), zdarzenia analityczne: wykrywanie braku ostrości, manipulacja, pojedyncze gniazdo microSD/SDHC/SDXC, ONVIF S/G/T/M, port USB ułatwiający instalację, IP66, IK10, NEMA4X, PoE, biały</v>
      </c>
      <c r="K115" s="43" t="s">
        <v>21</v>
      </c>
      <c r="L115" s="44">
        <v>549.0</v>
      </c>
      <c r="M115" s="8"/>
      <c r="N115" s="45" t="s">
        <v>22</v>
      </c>
      <c r="O115" s="97"/>
      <c r="P115" s="36"/>
      <c r="Q115" s="35"/>
      <c r="R115" s="68"/>
      <c r="S115" s="68"/>
      <c r="T115" s="68"/>
      <c r="U115" s="35"/>
      <c r="V115" s="35"/>
      <c r="W115" s="35"/>
      <c r="X115" s="35"/>
      <c r="Y115" s="35"/>
      <c r="Z115" s="35"/>
      <c r="AA115" s="35"/>
      <c r="AB115" s="35"/>
      <c r="AC115" s="60"/>
      <c r="AD115" s="85"/>
      <c r="AE115" s="85"/>
      <c r="AF115" s="85"/>
      <c r="AG115" s="85"/>
      <c r="AH115" s="85"/>
      <c r="AI115" s="85"/>
      <c r="AJ115" s="85"/>
      <c r="AK115" s="85"/>
      <c r="AL115" s="85"/>
      <c r="AM115" s="85"/>
      <c r="AN115" s="85"/>
      <c r="AO115" s="85"/>
      <c r="AP115" s="85"/>
    </row>
    <row r="116" ht="84.75" customHeight="1">
      <c r="A116" s="29"/>
      <c r="B116" s="38" t="s">
        <v>118</v>
      </c>
      <c r="C116" s="39" t="s">
        <v>445</v>
      </c>
      <c r="D116" s="40" t="s">
        <v>446</v>
      </c>
      <c r="E116" s="40" t="s">
        <v>174</v>
      </c>
      <c r="F116" s="40" t="s">
        <v>414</v>
      </c>
      <c r="G116" s="40" t="s">
        <v>184</v>
      </c>
      <c r="H116" s="41" t="s">
        <v>19</v>
      </c>
      <c r="I116" s="48" t="s">
        <v>447</v>
      </c>
      <c r="J116" s="42" t="str">
        <f>IFERROR(__xludf.DUMMYFUNCTION("GOOGLETRANSLATE(I116,""en"",""pl"")"),"Seria Q AI sieciowa mikro kamera kopułkowa wandaloodporna, 5 MP @30 kl./s, obiektyw stały 2,4 mm, potrójny kodek H.265/H.264/MJPEG, strumieniowanie wielokrotne do 5 profili, WDR 120 dB, dzień i noc (ICR), zdarzenia analityczne oparte na silniku AI: wykryw"&amp;"anie obiektów (osoba/pojazd — samochód, ciężarówka, autobus, rower, motocykl), IVA (wirtualna linia/obszar, wejście/wyjście, włóczęgostwo, kierunek, wtargnięcie), zdarzenia analityczne: wykrywanie braku ostrości, manipulacja, pojedyncze gniazdo microSD/SD"&amp;"HC/SDXC, ONVIF S/G/T/M, port USB ułatwiający instalację, IP66, IK10, NEMA4X, PoE, biały")</f>
        <v>Seria Q AI sieciowa mikro kamera kopułkowa wandaloodporna, 5 MP @30 kl./s, obiektyw stały 2,4 mm, potrójny kodek H.265/H.264/MJPEG, strumieniowanie wielokrotne do 5 profili, WDR 120 dB, dzień i noc (ICR), zdarzenia analityczne oparte na silniku AI: wykrywanie obiektów (osoba/pojazd — samochód, ciężarówka, autobus, rower, motocykl), IVA (wirtualna linia/obszar, wejście/wyjście, włóczęgostwo, kierunek, wtargnięcie), zdarzenia analityczne: wykrywanie braku ostrości, manipulacja, pojedyncze gniazdo microSD/SDHC/SDXC, ONVIF S/G/T/M, port USB ułatwiający instalację, IP66, IK10, NEMA4X, PoE, biały</v>
      </c>
      <c r="K116" s="43" t="s">
        <v>21</v>
      </c>
      <c r="L116" s="44">
        <v>549.0</v>
      </c>
      <c r="M116" s="8"/>
      <c r="N116" s="45" t="s">
        <v>22</v>
      </c>
      <c r="O116" s="97"/>
      <c r="P116" s="36"/>
      <c r="Q116" s="35"/>
      <c r="R116" s="68"/>
      <c r="S116" s="68"/>
      <c r="T116" s="68"/>
      <c r="U116" s="35"/>
      <c r="V116" s="35"/>
      <c r="W116" s="35"/>
      <c r="X116" s="35"/>
      <c r="Y116" s="35"/>
      <c r="Z116" s="35"/>
      <c r="AA116" s="35"/>
      <c r="AB116" s="35"/>
      <c r="AC116" s="60"/>
      <c r="AD116" s="85"/>
      <c r="AE116" s="85"/>
      <c r="AF116" s="85"/>
      <c r="AG116" s="85"/>
      <c r="AH116" s="85"/>
      <c r="AI116" s="85"/>
      <c r="AJ116" s="85"/>
      <c r="AK116" s="85"/>
      <c r="AL116" s="85"/>
      <c r="AM116" s="85"/>
      <c r="AN116" s="85"/>
      <c r="AO116" s="85"/>
      <c r="AP116" s="85"/>
    </row>
    <row r="117" ht="96.0" customHeight="1">
      <c r="A117" s="29"/>
      <c r="B117" s="38" t="s">
        <v>118</v>
      </c>
      <c r="C117" s="39" t="s">
        <v>448</v>
      </c>
      <c r="D117" s="40" t="s">
        <v>449</v>
      </c>
      <c r="E117" s="40" t="s">
        <v>16</v>
      </c>
      <c r="F117" s="40" t="s">
        <v>414</v>
      </c>
      <c r="G117" s="39" t="s">
        <v>450</v>
      </c>
      <c r="H117" s="41" t="s">
        <v>19</v>
      </c>
      <c r="I117" s="48" t="s">
        <v>451</v>
      </c>
      <c r="J117" s="42" t="str">
        <f>IFERROR(__xludf.DUMMYFUNCTION("GOOGLETRANSLATE(I117,""en"",""pl"")"),"Seria T, kamera panoramiczna AI do montażu na ścianie, 5 MP @ 30 kl./s, obiektyw stałoogniskowy 1,6 mm (HFoV: 175°, VFoV: 125°), potrójny kodek (H.265/H.264/MJPEG) z obsługą WiseStream III (opartego na silniku AI), WDR 120 dB, zasięg widzenia w podczerwie"&amp;"ni 15 m (49 stóp), WiseMD
oparty na silniku AI, klasyfikowany typ obiektu: Osoba/Pojazd (typ pojazdu: samochód/autobus/ciężarówka/motocykl/rower); Wydarzenia IVA oparte na silniku AI: linia wirtualna (przekroczenie/kierunek), obszar wirtualny (włóczęgostw"&amp;"o/wtargnięcie/wejście/wyjście/(zniknięcie)), obszar wirtualny (wtargnięcie/wejście/wyjście), linia wirtualna (przekroczenie/kierunek), analiza biznesowa: liczenie osób, zarządzanie kolejkami, mapa cieplna, obecność, wykrywanie manipulacji, wbudowany mikro"&amp;"fon, karta SD, IP66, PoE, biały.")</f>
        <v>Seria T, kamera panoramiczna AI do montażu na ścianie, 5 MP @ 30 kl./s, obiektyw stałoogniskowy 1,6 mm (HFoV: 175°, VFoV: 125°), potrójny kodek (H.265/H.264/MJPEG) z obsługą WiseStream III (opartego na silniku AI), WDR 120 dB, zasięg widzenia w podczerwieni 15 m (49 stóp), WiseMD
oparty na silniku AI, klasyfikowany typ obiektu: Osoba/Pojazd (typ pojazdu: samochód/autobus/ciężarówka/motocykl/rower); Wydarzenia IVA oparte na silniku AI: linia wirtualna (przekroczenie/kierunek), obszar wirtualny (włóczęgostwo/wtargnięcie/wejście/wyjście/(zniknięcie)), obszar wirtualny (wtargnięcie/wejście/wyjście), linia wirtualna (przekroczenie/kierunek), analiza biznesowa: liczenie osób, zarządzanie kolejkami, mapa cieplna, obecność, wykrywanie manipulacji, wbudowany mikrofon, karta SD, IP66, PoE, biały.</v>
      </c>
      <c r="K117" s="43" t="s">
        <v>21</v>
      </c>
      <c r="L117" s="44">
        <v>860.0</v>
      </c>
      <c r="M117" s="8"/>
      <c r="N117" s="45" t="s">
        <v>22</v>
      </c>
      <c r="O117" s="97"/>
      <c r="P117" s="36"/>
      <c r="Q117" s="35"/>
      <c r="R117" s="68"/>
      <c r="S117" s="68"/>
      <c r="T117" s="68"/>
      <c r="U117" s="35"/>
      <c r="V117" s="35"/>
      <c r="W117" s="35"/>
      <c r="X117" s="35"/>
      <c r="Y117" s="35"/>
      <c r="Z117" s="35"/>
      <c r="AA117" s="35"/>
      <c r="AB117" s="35"/>
      <c r="AC117" s="60"/>
      <c r="AD117" s="85"/>
      <c r="AE117" s="85"/>
      <c r="AF117" s="85"/>
      <c r="AG117" s="85"/>
      <c r="AH117" s="85"/>
      <c r="AI117" s="85"/>
      <c r="AJ117" s="85"/>
      <c r="AK117" s="85"/>
      <c r="AL117" s="85"/>
      <c r="AM117" s="85"/>
      <c r="AN117" s="85"/>
      <c r="AO117" s="85"/>
      <c r="AP117" s="85"/>
    </row>
    <row r="118" ht="96.0" customHeight="1">
      <c r="A118" s="29"/>
      <c r="B118" s="38" t="s">
        <v>118</v>
      </c>
      <c r="C118" s="39" t="s">
        <v>452</v>
      </c>
      <c r="D118" s="40" t="s">
        <v>453</v>
      </c>
      <c r="E118" s="40" t="s">
        <v>16</v>
      </c>
      <c r="F118" s="40" t="s">
        <v>414</v>
      </c>
      <c r="G118" s="39" t="s">
        <v>454</v>
      </c>
      <c r="H118" s="41" t="s">
        <v>19</v>
      </c>
      <c r="I118" s="48" t="s">
        <v>455</v>
      </c>
      <c r="J118" s="42" t="str">
        <f>IFERROR(__xludf.DUMMYFUNCTION("GOOGLETRANSLATE(I118,""en"",""pl"")"),"Kamera kopułkowa T Series AI Mobile IR z funkcją wandalizmu, 5 MP, (2592 x 1944) 30 kl./s, potrójny kodek H.265/H.264/MJPEG z technologią WiseStream, obiektyw o stałej ogniskowej 3 mm (H: 100°/V: 73°), wbudowany mikrofon, WDR 120 dB, wbudowany zasięg podc"&amp;"zerwieni 30 m (98,43 stopy), wykrywanie ruchu na podstawie silnika AI, analiza wideo na podstawie AI [wykrywanie i klasyfikacja obiektów (osoba (kolor górnej/dolnej części ubrania), pojazd (typ, kolor); BestShot, linia wirtualna, obszar wirtualny], wykryw"&amp;"anie braku ostrości, wykrywanie wstrząsów, widok na korytarz, ogrzewanie, DIS z wbudowanym czujnikiem żyroskopowym, dynamiczne maskowanie prywatności, wbudowane gniazdo na kartę SD (1 x 256 GB), IP66, IK10, temperatura pracy: -40°C~+55°C(-40°F~+131°F), zł"&amp;"ącze sieciowe M12 (adapter złącza M12 do RJ-45 nie jest dołączony)")</f>
        <v>Kamera kopułkowa T Series AI Mobile IR z funkcją wandalizmu, 5 MP, (2592 x 1944) 30 kl./s, potrójny kodek H.265/H.264/MJPEG z technologią WiseStream, obiektyw o stałej ogniskowej 3 mm (H: 100°/V: 73°), wbudowany mikrofon, WDR 120 dB, wbudowany zasięg podczerwieni 30 m (98,43 stopy), wykrywanie ruchu na podstawie silnika AI, analiza wideo na podstawie AI [wykrywanie i klasyfikacja obiektów (osoba (kolor górnej/dolnej części ubrania), pojazd (typ, kolor); BestShot, linia wirtualna, obszar wirtualny], wykrywanie braku ostrości, wykrywanie wstrząsów, widok na korytarz, ogrzewanie, DIS z wbudowanym czujnikiem żyroskopowym, dynamiczne maskowanie prywatności, wbudowane gniazdo na kartę SD (1 x 256 GB), IP66, IK10, temperatura pracy: -40°C~+55°C(-40°F~+131°F), złącze sieciowe M12 (adapter złącza M12 do RJ-45 nie jest dołączony)</v>
      </c>
      <c r="K118" s="43" t="s">
        <v>21</v>
      </c>
      <c r="L118" s="44">
        <v>780.0</v>
      </c>
      <c r="M118" s="8"/>
      <c r="N118" s="45" t="s">
        <v>22</v>
      </c>
      <c r="O118" s="97"/>
      <c r="P118" s="36"/>
      <c r="Q118" s="35"/>
      <c r="R118" s="68"/>
      <c r="S118" s="68"/>
      <c r="T118" s="68"/>
      <c r="U118" s="35"/>
      <c r="V118" s="35"/>
      <c r="W118" s="35"/>
      <c r="X118" s="35"/>
      <c r="Y118" s="35"/>
      <c r="Z118" s="35"/>
      <c r="AA118" s="35"/>
      <c r="AB118" s="35"/>
      <c r="AC118" s="60"/>
      <c r="AD118" s="85"/>
      <c r="AE118" s="85"/>
      <c r="AF118" s="85"/>
      <c r="AG118" s="85"/>
      <c r="AH118" s="85"/>
      <c r="AI118" s="85"/>
      <c r="AJ118" s="85"/>
      <c r="AK118" s="85"/>
      <c r="AL118" s="85"/>
      <c r="AM118" s="85"/>
      <c r="AN118" s="85"/>
      <c r="AO118" s="85"/>
      <c r="AP118" s="85"/>
    </row>
    <row r="119" ht="96.0" customHeight="1">
      <c r="A119" s="29"/>
      <c r="B119" s="38" t="s">
        <v>118</v>
      </c>
      <c r="C119" s="39" t="s">
        <v>456</v>
      </c>
      <c r="D119" s="40" t="s">
        <v>457</v>
      </c>
      <c r="E119" s="40" t="s">
        <v>16</v>
      </c>
      <c r="F119" s="40" t="s">
        <v>414</v>
      </c>
      <c r="G119" s="39" t="s">
        <v>454</v>
      </c>
      <c r="H119" s="41" t="s">
        <v>19</v>
      </c>
      <c r="I119" s="48" t="s">
        <v>458</v>
      </c>
      <c r="J119" s="42" t="str">
        <f>IFERROR(__xludf.DUMMYFUNCTION("GOOGLETRANSLATE(I119,""en"",""pl"")"),"Kamera kopułkowa T Series AI Mobile IR z detekcją wandalizmu, 5 MP, (2592 x 1944) 30 kl./s, potrójny kodek H.265/H.264/MJPEG z technologią WiseStream, obiektyw o stałej ogniskowej 6 mm (H: 50°/V: 37°), wbudowany mikrofon, WDR 120 dB, wbudowany zasięg podc"&amp;"zerwieni 30 m (98,43 stopy), wykrywanie ruchu na podstawie silnika AI, analiza wideo na podstawie AI [wykrywanie i klasyfikacja obiektów (osoba (kolor górnej/dolnej części ubrania), pojazd (typ, kolor); BestShot, linia wirtualna, obszar wirtualny], wykryw"&amp;"anie braku ostrości, wykrywanie wstrząsów, widok na korytarz, ogrzewanie, DIS z wbudowanym czujnikiem żyroskopowym, dynamiczne maskowanie prywatności, wbudowane gniazdo karty SD (1 x 256 GB), IP66, IK10, temperatura pracy: -40°C~+55°C(-40°F~+131°F), złącz"&amp;"e sieciowe M12 (adapter złącza M12 do RJ-45 nie jest dołączony)")</f>
        <v>Kamera kopułkowa T Series AI Mobile IR z detekcją wandalizmu, 5 MP, (2592 x 1944) 30 kl./s, potrójny kodek H.265/H.264/MJPEG z technologią WiseStream, obiektyw o stałej ogniskowej 6 mm (H: 50°/V: 37°), wbudowany mikrofon, WDR 120 dB, wbudowany zasięg podczerwieni 30 m (98,43 stopy), wykrywanie ruchu na podstawie silnika AI, analiza wideo na podstawie AI [wykrywanie i klasyfikacja obiektów (osoba (kolor górnej/dolnej części ubrania), pojazd (typ, kolor); BestShot, linia wirtualna, obszar wirtualny], wykrywanie braku ostrości, wykrywanie wstrząsów, widok na korytarz, ogrzewanie, DIS z wbudowanym czujnikiem żyroskopowym, dynamiczne maskowanie prywatności, wbudowane gniazdo karty SD (1 x 256 GB), IP66, IK10, temperatura pracy: -40°C~+55°C(-40°F~+131°F), złącze sieciowe M12 (adapter złącza M12 do RJ-45 nie jest dołączony)</v>
      </c>
      <c r="K119" s="43" t="s">
        <v>21</v>
      </c>
      <c r="L119" s="44">
        <v>780.0</v>
      </c>
      <c r="M119" s="8"/>
      <c r="N119" s="45" t="s">
        <v>22</v>
      </c>
      <c r="O119" s="97"/>
      <c r="P119" s="36"/>
      <c r="Q119" s="35"/>
      <c r="R119" s="68"/>
      <c r="S119" s="68"/>
      <c r="T119" s="68"/>
      <c r="U119" s="35"/>
      <c r="V119" s="35"/>
      <c r="W119" s="35"/>
      <c r="X119" s="35"/>
      <c r="Y119" s="35"/>
      <c r="Z119" s="35"/>
      <c r="AA119" s="35"/>
      <c r="AB119" s="35"/>
      <c r="AC119" s="60"/>
      <c r="AD119" s="85"/>
      <c r="AE119" s="85"/>
      <c r="AF119" s="85"/>
      <c r="AG119" s="85"/>
      <c r="AH119" s="85"/>
      <c r="AI119" s="85"/>
      <c r="AJ119" s="85"/>
      <c r="AK119" s="85"/>
      <c r="AL119" s="85"/>
      <c r="AM119" s="85"/>
      <c r="AN119" s="85"/>
      <c r="AO119" s="85"/>
      <c r="AP119" s="85"/>
    </row>
    <row r="120" ht="120.0" customHeight="1">
      <c r="A120" s="29"/>
      <c r="B120" s="116" t="s">
        <v>118</v>
      </c>
      <c r="C120" s="117" t="s">
        <v>459</v>
      </c>
      <c r="D120" s="118" t="s">
        <v>460</v>
      </c>
      <c r="E120" s="118" t="s">
        <v>168</v>
      </c>
      <c r="F120" s="118" t="s">
        <v>414</v>
      </c>
      <c r="G120" s="117" t="s">
        <v>184</v>
      </c>
      <c r="H120" s="41" t="s">
        <v>461</v>
      </c>
      <c r="I120" s="121" t="s">
        <v>462</v>
      </c>
      <c r="J120" s="42" t="str">
        <f>IFERROR(__xludf.DUMMYFUNCTION("GOOGLETRANSLATE(I120,""en"",""pl"")"),"Seria X zasilana przez zewnętrzną kamerę kopułkową Wisenet 5, modułowa konstrukcja X PLUS, 5 MP @30 kl./s, obiektyw zmiennoogniskowy 3,6 ~ 9,4 mm z napędem silnikowym (2,6x) (102,5°~38,7°), zmotoryzowany Pan/Tilt/Rotate/Zoom, potrójny kodek H.265/H.264/MJ"&amp;"PEG z WiseStream II, wielokrotne strumieniowanie, 120 dB WDR, True Day &amp; Night (ICR), zaawansowana analiza wideo i klasyfikacja dźwięku oraz analiza biznesowa, wykrywanie wstrząsów, odtwarzanie dźwięku, widok korytarza, wykrywanie ruchu, wykrywanie mgły, "&amp;"HLC, cyfrowa stabilizacja obrazu z wbudowanym czujnikiem żyroskopowym, dwukierunkowy dźwięk i podwójne gniazdo microSD/SDHC/SDXC, ONVIF S/G/T, port USB ułatwiający instalację, IP67/IP66/IP6K9K, IK10+, Nema 4X, PoE/12 V DC, opcjonalnie 24 V AC, w zestawie "&amp;"skórki w kolorze białym i kości słoniowej, opcjonalnie czarna osłonka")</f>
        <v>Seria X zasilana przez zewnętrzną kamerę kopułkową Wisenet 5, modułowa konstrukcja X PLUS, 5 MP @30 kl./s, obiektyw zmiennoogniskowy 3,6 ~ 9,4 mm z napędem silnikowym (2,6x) (102,5°~38,7°), zmotoryzowany Pan/Tilt/Rotate/Zoom, potrójny kodek H.265/H.264/MJPEG z WiseStream II, wielokrotne strumieniowanie, 120 dB WDR, True Day &amp; Night (ICR), zaawansowana analiza wideo i klasyfikacja dźwięku oraz analiza biznesowa, wykrywanie wstrząsów, odtwarzanie dźwięku, widok korytarza, wykrywanie ruchu, wykrywanie mgły, HLC, cyfrowa stabilizacja obrazu z wbudowanym czujnikiem żyroskopowym, dwukierunkowy dźwięk i podwójne gniazdo microSD/SDHC/SDXC, ONVIF S/G/T, port USB ułatwiający instalację, IP67/IP66/IP6K9K, IK10+, Nema 4X, PoE/12 V DC, opcjonalnie 24 V AC, w zestawie skórki w kolorze białym i kości słoniowej, opcjonalnie czarna osłonka</v>
      </c>
      <c r="K120" s="120" t="s">
        <v>21</v>
      </c>
      <c r="L120" s="122">
        <v>1613.0</v>
      </c>
      <c r="M120" s="8"/>
      <c r="N120" s="45" t="s">
        <v>22</v>
      </c>
      <c r="O120" s="97"/>
      <c r="P120" s="36"/>
      <c r="Q120" s="35"/>
      <c r="R120" s="68"/>
      <c r="S120" s="68"/>
      <c r="T120" s="68"/>
      <c r="U120" s="35"/>
      <c r="V120" s="35"/>
      <c r="W120" s="35"/>
      <c r="X120" s="35"/>
      <c r="Y120" s="35"/>
      <c r="Z120" s="35"/>
      <c r="AA120" s="35"/>
      <c r="AB120" s="35"/>
      <c r="AC120" s="60"/>
      <c r="AD120" s="85"/>
      <c r="AE120" s="85"/>
      <c r="AF120" s="85"/>
      <c r="AG120" s="85"/>
      <c r="AH120" s="85"/>
      <c r="AI120" s="85"/>
      <c r="AJ120" s="85"/>
      <c r="AK120" s="85"/>
      <c r="AL120" s="85"/>
      <c r="AM120" s="85"/>
      <c r="AN120" s="85"/>
      <c r="AO120" s="85"/>
      <c r="AP120" s="85"/>
    </row>
    <row r="121" ht="96.0" customHeight="1">
      <c r="A121" s="29"/>
      <c r="B121" s="38" t="s">
        <v>118</v>
      </c>
      <c r="C121" s="39" t="s">
        <v>463</v>
      </c>
      <c r="D121" s="40" t="s">
        <v>464</v>
      </c>
      <c r="E121" s="40" t="s">
        <v>168</v>
      </c>
      <c r="F121" s="40" t="s">
        <v>414</v>
      </c>
      <c r="G121" s="39" t="s">
        <v>18</v>
      </c>
      <c r="H121" s="41" t="s">
        <v>19</v>
      </c>
      <c r="I121" s="48" t="s">
        <v>465</v>
      </c>
      <c r="J121" s="42" t="str">
        <f>IFERROR(__xludf.DUMMYFUNCTION("GOOGLETRANSLATE(I121,""en"",""pl"")"),"Seria X zasilana przez kamerę zewnętrzną typu bullet z wandalami Wisenet 5 z siecią IR, 5 MP @30 kl./s, obiektyw zmiennoogniskowy 3,7 ~ 9,4 mm z napędem silnikowym (2,5x) (100,2°~38,7°), potrójny kodek H.265/H.264/MJPEG z WiseStream II, strumieniowanie wi"&amp;"elokrotne, WDR 120 dB, True Day &amp; Night (ICR), diody LED IR o dużej mocy z widoczną długością podczerwieni 50 m, zaawansowana analiza wideo i klasyfikacja dźwięku, widok z korytarza, wykrywanie ruchu, wykrywanie mgły, HLC, przekazywanie, cyfrowa stabiliza"&amp;"cja obrazu, dwukierunkowy dźwięk i dwa gniazda SD/SDHC/SDXC, port USB ułatwiający instalację, IP67, IK10, Nema 4X, PoE/12 V DC/24 V AC")</f>
        <v>Seria X zasilana przez kamerę zewnętrzną typu bullet z wandalami Wisenet 5 z siecią IR, 5 MP @30 kl./s, obiektyw zmiennoogniskowy 3,7 ~ 9,4 mm z napędem silnikowym (2,5x) (100,2°~38,7°), potrójny kodek H.265/H.264/MJPEG z WiseStream II, strumieniowanie wielokrotne, WDR 120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SD/SDHC/SDXC, port USB ułatwiający instalację, IP67, IK10, Nema 4X, PoE/12 V DC/24 V AC</v>
      </c>
      <c r="K121" s="43" t="s">
        <v>21</v>
      </c>
      <c r="L121" s="44">
        <v>1220.0</v>
      </c>
      <c r="M121" s="8"/>
      <c r="N121" s="45" t="s">
        <v>22</v>
      </c>
      <c r="O121" s="97"/>
      <c r="P121" s="36"/>
      <c r="Q121" s="35"/>
      <c r="R121" s="68"/>
      <c r="S121" s="68"/>
      <c r="T121" s="68"/>
      <c r="U121" s="35"/>
      <c r="V121" s="35"/>
      <c r="W121" s="35"/>
      <c r="X121" s="35"/>
      <c r="Y121" s="35"/>
      <c r="Z121" s="35"/>
      <c r="AA121" s="35"/>
      <c r="AB121" s="35"/>
      <c r="AC121" s="60"/>
      <c r="AD121" s="85"/>
      <c r="AE121" s="85"/>
      <c r="AF121" s="85"/>
      <c r="AG121" s="85"/>
      <c r="AH121" s="85"/>
      <c r="AI121" s="85"/>
      <c r="AJ121" s="85"/>
      <c r="AK121" s="85"/>
      <c r="AL121" s="85"/>
      <c r="AM121" s="85"/>
      <c r="AN121" s="85"/>
      <c r="AO121" s="85"/>
      <c r="AP121" s="85"/>
    </row>
    <row r="122" ht="90.0" customHeight="1">
      <c r="A122" s="29"/>
      <c r="B122" s="38" t="s">
        <v>118</v>
      </c>
      <c r="C122" s="39" t="s">
        <v>466</v>
      </c>
      <c r="D122" s="40" t="s">
        <v>464</v>
      </c>
      <c r="E122" s="40" t="s">
        <v>168</v>
      </c>
      <c r="F122" s="40" t="s">
        <v>414</v>
      </c>
      <c r="G122" s="39" t="s">
        <v>18</v>
      </c>
      <c r="H122" s="41" t="s">
        <v>19</v>
      </c>
      <c r="I122" s="48" t="s">
        <v>467</v>
      </c>
      <c r="J122" s="42" t="str">
        <f>IFERROR(__xludf.DUMMYFUNCTION("GOOGLETRANSLATE(I122,""en"",""pl"")"),"Seria X zasilana przez zewnętrzną kamerę wandaloodporną typu bullet z siecią IR Wisenet 5, 5 MP @30 kl./s, obiektyw stałoogniskowy 3,7 mm (97,5°), potrójny kodek H.265/H.264/MJPEG z WiseStream II, strumieniowanie wielokrotne, WDR 120 dB, True Day &amp; Night "&amp;"(ICR), diody LED IR o dużej mocy z widoczną długością podczerwieni 30 m, zaawansowana analiza wideo i klasyfikacja dźwięku oraz analiza biznesowa, widok z korytarza, wykrywanie ruchu, wykrywanie mgły, HLC, przekazywanie, cyfrowa stabilizacja obrazu, dwuki"&amp;"erunkowy dźwięk i dwa gniazda SD/SDHC/SDXC, port USB ułatwiający instalację, IP67, IK10, Nema 4X, PoE/12 V DC")</f>
        <v>Seria X zasilana przez zewnętrzną kamerę wandaloodporną typu bullet z siecią IR Wisenet 5, 5 MP @30 kl./s, obiektyw stałoogniskowy 3,7 mm (97,5°),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122" s="43" t="s">
        <v>21</v>
      </c>
      <c r="L122" s="44">
        <v>720.0</v>
      </c>
      <c r="M122" s="8"/>
      <c r="N122" s="45" t="s">
        <v>22</v>
      </c>
      <c r="O122" s="97"/>
      <c r="P122" s="36"/>
      <c r="Q122" s="35"/>
      <c r="R122" s="68"/>
      <c r="S122" s="68"/>
      <c r="T122" s="68"/>
      <c r="U122" s="35"/>
      <c r="V122" s="35"/>
      <c r="W122" s="35"/>
      <c r="X122" s="35"/>
      <c r="Y122" s="35"/>
      <c r="Z122" s="35"/>
      <c r="AA122" s="35"/>
      <c r="AB122" s="35"/>
      <c r="AC122" s="60"/>
      <c r="AD122" s="85"/>
      <c r="AE122" s="85"/>
      <c r="AF122" s="85"/>
      <c r="AG122" s="85"/>
      <c r="AH122" s="85"/>
      <c r="AI122" s="85"/>
      <c r="AJ122" s="85"/>
      <c r="AK122" s="85"/>
      <c r="AL122" s="85"/>
      <c r="AM122" s="85"/>
      <c r="AN122" s="85"/>
      <c r="AO122" s="85"/>
      <c r="AP122" s="85"/>
    </row>
    <row r="123" ht="90.0" customHeight="1">
      <c r="A123" s="29"/>
      <c r="B123" s="38" t="s">
        <v>118</v>
      </c>
      <c r="C123" s="39" t="s">
        <v>468</v>
      </c>
      <c r="D123" s="40" t="s">
        <v>464</v>
      </c>
      <c r="E123" s="40" t="s">
        <v>168</v>
      </c>
      <c r="F123" s="40" t="s">
        <v>414</v>
      </c>
      <c r="G123" s="39" t="s">
        <v>18</v>
      </c>
      <c r="H123" s="41" t="s">
        <v>19</v>
      </c>
      <c r="I123" s="48" t="s">
        <v>469</v>
      </c>
      <c r="J123" s="42" t="str">
        <f>IFERROR(__xludf.DUMMYFUNCTION("GOOGLETRANSLATE(I123,""en"",""pl"")"),"Seria X zasilana przez zewnętrzną kamerę wandaloodporną typu bullet z siecią IR Wisenet 5, 5 MP @30 kl./s, obiektyw stałoogniskowy 4,6 mm (77,9°), potrójny kodek H.265/H.264/MJPEG z WiseStream II, strumieniowanie wielokrotne, WDR 120 dB, True Day &amp; Night "&amp;"(ICR), diody LED IR o dużej mocy z widoczną długością podczerwieni 30 m, zaawansowana analiza wideo i klasyfikacja dźwięku oraz analiza biznesowa, widok z korytarza, wykrywanie ruchu, wykrywanie mgły, HLC, przekazywanie, cyfrowa stabilizacja obrazu, dwuki"&amp;"erunkowy dźwięk i dwa gniazda SD/SDHC/SDXC, port USB ułatwiający instalację, IP67, IK10, Nema 4X, PoE/12 V DC")</f>
        <v>Seria X zasilana przez zewnętrzną kamerę wandaloodporną typu bullet z siecią IR Wisenet 5, 5 MP @30 kl./s, obiektyw stałoogniskowy 4,6 mm (77,9°),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123" s="43" t="s">
        <v>21</v>
      </c>
      <c r="L123" s="44">
        <v>720.0</v>
      </c>
      <c r="M123" s="8"/>
      <c r="N123" s="45" t="s">
        <v>22</v>
      </c>
      <c r="O123" s="97"/>
      <c r="P123" s="36"/>
      <c r="Q123" s="35"/>
      <c r="R123" s="68"/>
      <c r="S123" s="68"/>
      <c r="T123" s="68"/>
      <c r="U123" s="35"/>
      <c r="V123" s="35"/>
      <c r="W123" s="35"/>
      <c r="X123" s="35"/>
      <c r="Y123" s="35"/>
      <c r="Z123" s="35"/>
      <c r="AA123" s="35"/>
      <c r="AB123" s="35"/>
      <c r="AC123" s="60"/>
      <c r="AD123" s="85"/>
      <c r="AE123" s="85"/>
      <c r="AF123" s="85"/>
      <c r="AG123" s="85"/>
      <c r="AH123" s="85"/>
      <c r="AI123" s="85"/>
      <c r="AJ123" s="85"/>
      <c r="AK123" s="85"/>
      <c r="AL123" s="85"/>
      <c r="AM123" s="85"/>
      <c r="AN123" s="85"/>
      <c r="AO123" s="85"/>
      <c r="AP123" s="85"/>
    </row>
    <row r="124" ht="90.0" customHeight="1">
      <c r="A124" s="29"/>
      <c r="B124" s="38" t="s">
        <v>118</v>
      </c>
      <c r="C124" s="39" t="s">
        <v>470</v>
      </c>
      <c r="D124" s="40" t="s">
        <v>464</v>
      </c>
      <c r="E124" s="40" t="s">
        <v>168</v>
      </c>
      <c r="F124" s="40" t="s">
        <v>414</v>
      </c>
      <c r="G124" s="39" t="s">
        <v>18</v>
      </c>
      <c r="H124" s="41" t="s">
        <v>19</v>
      </c>
      <c r="I124" s="48" t="s">
        <v>471</v>
      </c>
      <c r="J124" s="42" t="str">
        <f>IFERROR(__xludf.DUMMYFUNCTION("GOOGLETRANSLATE(I124,""en"",""pl"")"),"Seria X zasilana przez zewnętrzną kamerę wandaloodporną typu bullet z siecią IR Wisenet 5, 5 MP @30 kl./s, obiektyw stałoogniskowy 7 mm (50,7°), potrójny kodek H.265/H.264/MJPEG z WiseStream II, strumieniowanie wielokrotne, WDR 120 dB, True Day &amp; Night (I"&amp;"CR), diody LED IR o dużej mocy z widoczną długością podczerwieni 30 m, zaawansowana analiza wideo i klasyfikacja dźwięku oraz analiza biznesowa, widok z korytarza, wykrywanie ruchu, wykrywanie mgły, HLC, przekazywanie, cyfrowa stabilizacja obrazu, dwukier"&amp;"unkowy dźwięk i dwa gniazda SD/SDHC/SDXC, port USB ułatwiający instalację, IP67, IK10, Nema 4X, PoE/12 V DC")</f>
        <v>Seria X zasilana przez zewnętrzną kamerę wandaloodporną typu bullet z siecią IR Wisenet 5, 5 MP @30 kl./s, obiektyw stałoogniskowy 7 mm (50,7°),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124" s="43" t="s">
        <v>21</v>
      </c>
      <c r="L124" s="44">
        <v>720.0</v>
      </c>
      <c r="M124" s="8"/>
      <c r="N124" s="45" t="s">
        <v>22</v>
      </c>
      <c r="O124" s="97"/>
      <c r="P124" s="36"/>
      <c r="Q124" s="35"/>
      <c r="R124" s="68"/>
      <c r="S124" s="68"/>
      <c r="T124" s="68"/>
      <c r="U124" s="35"/>
      <c r="V124" s="35"/>
      <c r="W124" s="35"/>
      <c r="X124" s="35"/>
      <c r="Y124" s="35"/>
      <c r="Z124" s="35"/>
      <c r="AA124" s="35"/>
      <c r="AB124" s="35"/>
      <c r="AC124" s="60"/>
      <c r="AD124" s="85"/>
      <c r="AE124" s="85"/>
      <c r="AF124" s="85"/>
      <c r="AG124" s="85"/>
      <c r="AH124" s="85"/>
      <c r="AI124" s="85"/>
      <c r="AJ124" s="85"/>
      <c r="AK124" s="85"/>
      <c r="AL124" s="85"/>
      <c r="AM124" s="85"/>
      <c r="AN124" s="85"/>
      <c r="AO124" s="85"/>
      <c r="AP124" s="85"/>
    </row>
    <row r="125" ht="90.0" customHeight="1">
      <c r="A125" s="29"/>
      <c r="B125" s="38" t="s">
        <v>118</v>
      </c>
      <c r="C125" s="39" t="s">
        <v>472</v>
      </c>
      <c r="D125" s="40" t="s">
        <v>473</v>
      </c>
      <c r="E125" s="40" t="s">
        <v>168</v>
      </c>
      <c r="F125" s="40" t="s">
        <v>414</v>
      </c>
      <c r="G125" s="39" t="s">
        <v>192</v>
      </c>
      <c r="H125" s="41" t="s">
        <v>19</v>
      </c>
      <c r="I125" s="48" t="s">
        <v>474</v>
      </c>
      <c r="J125" s="42" t="str">
        <f>IFERROR(__xludf.DUMMYFUNCTION("GOOGLETRANSLATE(I125,""en"",""pl"")"),"Seria X zasilana przez kopułkową kamerę wewnętrzną z podczerwienią Wisenet 5, 5 MP @30 kl./s, obiektyw zmiennoogniskowy z napędem silnikowym 3,9 ~ 9,4 mm (2,4x) (92,1°~38,7°), potrójny kodek H.265/H.264/MJPEG z WiseStream II, strumieniowanie wielokrotne, "&amp;"WDR 120 dB, True Day &amp; Night (ICR), diody LED IR o dużej mocy z widoczną długością podczerwieni 30 m, zaawansowana analiza wideo i klasyfikacja dźwięku, widok z korytarza, wykrywanie ruchu, wykrywanie mgły, HLC, przekazywanie, cyfrowa stabilizacja obrazu,"&amp;" dwukierunkowy dźwięk i dwa gniazda microSD/SDHC/SDXC, port USB ułatwiający instalację, IK08, PoE/12 V DC")</f>
        <v>Seria X zasilana przez kopułkową kamerę wewnętrzną z podczerwienią Wisenet 5, 5 MP @30 kl./s, obiektyw zmiennoogniskowy z napędem silnikowym 3,9 ~ 9,4 mm (2,4x) (92,1°~38,7°), potrójny kodek H.265/H.264/MJPEG z WiseStream II, strumieniowanie wielokrotne, WDR 120 dB, True Day &amp; Night (ICR), diody LED IR o dużej mocy z widoczną długością podczerwieni 30 m, zaawansowana analiza wideo i klasyfikacja dźwięku, widok z korytarza, wykrywanie ruchu, wykrywanie mgły, HLC, przekazywanie, cyfrowa stabilizacja obrazu, dwukierunkowy dźwięk i dwa gniazda microSD/SDHC/SDXC, port USB ułatwiający instalację, IK08, PoE/12 V DC</v>
      </c>
      <c r="K125" s="43" t="s">
        <v>21</v>
      </c>
      <c r="L125" s="44">
        <v>1146.0</v>
      </c>
      <c r="M125" s="8"/>
      <c r="N125" s="45" t="s">
        <v>22</v>
      </c>
      <c r="O125" s="97"/>
      <c r="P125" s="36"/>
      <c r="Q125" s="35"/>
      <c r="R125" s="68"/>
      <c r="S125" s="68"/>
      <c r="T125" s="68"/>
      <c r="U125" s="35"/>
      <c r="V125" s="35"/>
      <c r="W125" s="35"/>
      <c r="X125" s="35"/>
      <c r="Y125" s="35"/>
      <c r="Z125" s="35"/>
      <c r="AA125" s="35"/>
      <c r="AB125" s="35"/>
      <c r="AC125" s="60"/>
      <c r="AD125" s="85"/>
      <c r="AE125" s="85"/>
      <c r="AF125" s="85"/>
      <c r="AG125" s="85"/>
      <c r="AH125" s="85"/>
      <c r="AI125" s="85"/>
      <c r="AJ125" s="85"/>
      <c r="AK125" s="85"/>
      <c r="AL125" s="85"/>
      <c r="AM125" s="85"/>
      <c r="AN125" s="85"/>
      <c r="AO125" s="85"/>
      <c r="AP125" s="85"/>
    </row>
    <row r="126" ht="90.0" customHeight="1">
      <c r="A126" s="29"/>
      <c r="B126" s="38" t="s">
        <v>118</v>
      </c>
      <c r="C126" s="39" t="s">
        <v>475</v>
      </c>
      <c r="D126" s="40" t="s">
        <v>476</v>
      </c>
      <c r="E126" s="40" t="s">
        <v>168</v>
      </c>
      <c r="F126" s="40" t="s">
        <v>414</v>
      </c>
      <c r="G126" s="39" t="s">
        <v>192</v>
      </c>
      <c r="H126" s="41" t="s">
        <v>19</v>
      </c>
      <c r="I126" s="48" t="s">
        <v>477</v>
      </c>
      <c r="J126" s="42" t="str">
        <f>IFERROR(__xludf.DUMMYFUNCTION("GOOGLETRANSLATE(I126,""en"",""pl"")"),"Seria X zasilana przez kamerę kopułkową Wisenet 5 z siecią IR do zastosowań wewnętrznych, 5 MP @30 kl./s, obiektyw zmiennoogniskowy 3,9 ~ 9,4 mm z napędem silnikowym (2,4x) (92,1°~38,7°), potrójny kodek H.265/H.264/MJPEG z WiseStream II, strumieniowanie w"&amp;"ielokrotne, WDR 120 dB, True Day &amp; Night (ICR), diody LED IR o dużej mocy z widoczną długością podczerwieni 30 m, zaawansowana analiza wideo i klasyfikacja dźwięku, widok z korytarza, wykrywanie ruchu, wykrywanie mgły, HLC, przekazywanie, cyfrowa stabiliz"&amp;"acja obrazu, dwukierunkowy dźwięk i dwa gniazda microSD/SDHC/SDXC, port USB ułatwiający instalację, IK08, PoE/12 V DC")</f>
        <v>Seria X zasilana przez kamerę kopułkową Wisenet 5 z siecią IR do zastosowań wewnętrznych, 5 MP @30 kl./s, obiektyw zmiennoogniskowy 3,9 ~ 9,4 mm z napędem silnikowym (2,4x) (92,1°~38,7°), potrójny kodek H.265/H.264/MJPEG z WiseStream II, strumieniowanie wielokrotne, WDR 120 dB, True Day &amp; Night (ICR), diody LED IR o dużej mocy z widoczną długością podczerwieni 30 m, zaawansowana analiza wideo i klasyfikacja dźwięku, widok z korytarza, wykrywanie ruchu, wykrywanie mgły, HLC, przekazywanie, cyfrowa stabilizacja obrazu, dwukierunkowy dźwięk i dwa gniazda microSD/SDHC/SDXC, port USB ułatwiający instalację, IK08, PoE/12 V DC</v>
      </c>
      <c r="K126" s="43" t="s">
        <v>21</v>
      </c>
      <c r="L126" s="44">
        <v>1050.0</v>
      </c>
      <c r="M126" s="8"/>
      <c r="N126" s="45" t="s">
        <v>22</v>
      </c>
      <c r="O126" s="97"/>
      <c r="P126" s="36"/>
      <c r="Q126" s="35"/>
      <c r="R126" s="68"/>
      <c r="S126" s="68"/>
      <c r="T126" s="68"/>
      <c r="U126" s="35"/>
      <c r="V126" s="35"/>
      <c r="W126" s="35"/>
      <c r="X126" s="35"/>
      <c r="Y126" s="35"/>
      <c r="Z126" s="35"/>
      <c r="AA126" s="35"/>
      <c r="AB126" s="35"/>
      <c r="AC126" s="60"/>
      <c r="AD126" s="85"/>
      <c r="AE126" s="85"/>
      <c r="AF126" s="85"/>
      <c r="AG126" s="85"/>
      <c r="AH126" s="85"/>
      <c r="AI126" s="85"/>
      <c r="AJ126" s="85"/>
      <c r="AK126" s="85"/>
      <c r="AL126" s="85"/>
      <c r="AM126" s="85"/>
      <c r="AN126" s="85"/>
      <c r="AO126" s="85"/>
      <c r="AP126" s="85"/>
    </row>
    <row r="127" ht="90.0" customHeight="1">
      <c r="A127" s="29"/>
      <c r="B127" s="38" t="s">
        <v>118</v>
      </c>
      <c r="C127" s="39" t="s">
        <v>478</v>
      </c>
      <c r="D127" s="40" t="s">
        <v>473</v>
      </c>
      <c r="E127" s="40" t="s">
        <v>168</v>
      </c>
      <c r="F127" s="40" t="s">
        <v>414</v>
      </c>
      <c r="G127" s="39" t="s">
        <v>192</v>
      </c>
      <c r="H127" s="41" t="s">
        <v>19</v>
      </c>
      <c r="I127" s="48" t="s">
        <v>479</v>
      </c>
      <c r="J127" s="42" t="str">
        <f>IFERROR(__xludf.DUMMYFUNCTION("GOOGLETRANSLATE(I127,""en"",""pl"")"),"Seria X zasilana przez kopułkową kamerę wewnętrzną Wisenet 5 z siecią IR, 5 MP @30 kl./s, obiektyw stałoogniskowy 3,7 mm (97,5°), potrójny kodek H.265/H.264/MJPEG z WiseStream II, strumieniowanie wielokrotne, WDR 120 dB, True Day &amp; Night (ICR), diody LED "&amp;"IR o dużej mocy z widoczną długością podczerwieni 30 m, zaawansowana analiza wideo i klasyfikacja dźwięku oraz analiza biznesowa, widok z korytarza, wykrywanie ruchu, wykrywanie mgły, HLC, przekazywanie, cyfrowa stabilizacja obrazu, dwukierunkowy dźwięk i"&amp;" dwa gniazda microSD/SDHC/SDXC, port USB ułatwiający instalację, IK08, PoE/12 V DC")</f>
        <v>Seria X zasilana przez kopułkową kamerę wewnętrzną Wisenet 5 z siecią IR, 5 MP @30 kl./s, obiektyw stałoogniskowy 3,7 mm (97,5°),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IK08, PoE/12 V DC</v>
      </c>
      <c r="K127" s="43" t="s">
        <v>21</v>
      </c>
      <c r="L127" s="44">
        <v>634.0</v>
      </c>
      <c r="M127" s="8"/>
      <c r="N127" s="45" t="s">
        <v>22</v>
      </c>
      <c r="O127" s="97"/>
      <c r="P127" s="36"/>
      <c r="Q127" s="35"/>
      <c r="R127" s="68"/>
      <c r="S127" s="68"/>
      <c r="T127" s="68"/>
      <c r="U127" s="35"/>
      <c r="V127" s="35"/>
      <c r="W127" s="35"/>
      <c r="X127" s="35"/>
      <c r="Y127" s="35"/>
      <c r="Z127" s="35"/>
      <c r="AA127" s="35"/>
      <c r="AB127" s="35"/>
      <c r="AC127" s="60"/>
      <c r="AD127" s="85"/>
      <c r="AE127" s="85"/>
      <c r="AF127" s="85"/>
      <c r="AG127" s="85"/>
      <c r="AH127" s="85"/>
      <c r="AI127" s="85"/>
      <c r="AJ127" s="85"/>
      <c r="AK127" s="85"/>
      <c r="AL127" s="85"/>
      <c r="AM127" s="85"/>
      <c r="AN127" s="85"/>
      <c r="AO127" s="85"/>
      <c r="AP127" s="85"/>
    </row>
    <row r="128" ht="90.0" customHeight="1">
      <c r="A128" s="29"/>
      <c r="B128" s="38" t="s">
        <v>118</v>
      </c>
      <c r="C128" s="39" t="s">
        <v>480</v>
      </c>
      <c r="D128" s="40" t="s">
        <v>473</v>
      </c>
      <c r="E128" s="40" t="s">
        <v>168</v>
      </c>
      <c r="F128" s="40" t="s">
        <v>414</v>
      </c>
      <c r="G128" s="39" t="s">
        <v>192</v>
      </c>
      <c r="H128" s="41" t="s">
        <v>19</v>
      </c>
      <c r="I128" s="48" t="s">
        <v>481</v>
      </c>
      <c r="J128" s="42" t="str">
        <f>IFERROR(__xludf.DUMMYFUNCTION("GOOGLETRANSLATE(I128,""en"",""pl"")"),"Seria X zasilana przez kopułkową kamerę wewnętrzną Wisenet 5 z siecią IR, 5 MP @30 kl./s, obiektyw stałoogniskowy 4,6 mm (77,9°), potrójny kodek H.265/H.264/MJPEG z WiseStream II, strumieniowanie wielokrotne, WDR 120 dB, True Day &amp; Night (ICR), diody LED "&amp;"IR o dużej mocy z widoczną długością podczerwieni 30 m, zaawansowana analiza wideo i klasyfikacja dźwięku oraz analiza biznesowa, widok z korytarza, wykrywanie ruchu, wykrywanie mgły, HLC, przekazywanie, cyfrowa stabilizacja obrazu, dwukierunkowy dźwięk i"&amp;" dwa gniazda microSD/SDHC/SDXC, port USB ułatwiający instalację, IK08, PoE/12 V DC")</f>
        <v>Seria X zasilana przez kopułkową kamerę wewnętrzną Wisenet 5 z siecią IR, 5 MP @30 kl./s, obiektyw stałoogniskowy 4,6 mm (77,9°),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IK08, PoE/12 V DC</v>
      </c>
      <c r="K128" s="43" t="s">
        <v>21</v>
      </c>
      <c r="L128" s="44">
        <v>634.0</v>
      </c>
      <c r="M128" s="8"/>
      <c r="N128" s="45" t="s">
        <v>22</v>
      </c>
      <c r="O128" s="97"/>
      <c r="P128" s="36"/>
      <c r="Q128" s="35"/>
      <c r="R128" s="68"/>
      <c r="S128" s="68"/>
      <c r="T128" s="68"/>
      <c r="U128" s="35"/>
      <c r="V128" s="35"/>
      <c r="W128" s="35"/>
      <c r="X128" s="35"/>
      <c r="Y128" s="35"/>
      <c r="Z128" s="35"/>
      <c r="AA128" s="35"/>
      <c r="AB128" s="35"/>
      <c r="AC128" s="60"/>
      <c r="AD128" s="85"/>
      <c r="AE128" s="85"/>
      <c r="AF128" s="85"/>
      <c r="AG128" s="85"/>
      <c r="AH128" s="85"/>
      <c r="AI128" s="85"/>
      <c r="AJ128" s="85"/>
      <c r="AK128" s="85"/>
      <c r="AL128" s="85"/>
      <c r="AM128" s="85"/>
      <c r="AN128" s="85"/>
      <c r="AO128" s="85"/>
      <c r="AP128" s="85"/>
    </row>
    <row r="129" ht="90.0" customHeight="1">
      <c r="A129" s="29"/>
      <c r="B129" s="38" t="s">
        <v>118</v>
      </c>
      <c r="C129" s="39" t="s">
        <v>482</v>
      </c>
      <c r="D129" s="40" t="s">
        <v>473</v>
      </c>
      <c r="E129" s="40" t="s">
        <v>168</v>
      </c>
      <c r="F129" s="40" t="s">
        <v>414</v>
      </c>
      <c r="G129" s="39" t="s">
        <v>192</v>
      </c>
      <c r="H129" s="41" t="s">
        <v>19</v>
      </c>
      <c r="I129" s="48" t="s">
        <v>483</v>
      </c>
      <c r="J129" s="42" t="str">
        <f>IFERROR(__xludf.DUMMYFUNCTION("GOOGLETRANSLATE(I129,""en"",""pl"")"),"Seria X zasilana przez kopułkową kamerę wewnętrzną IR Wisenet 5, 5 MP @30 kl./s, obiektyw stałoogniskowy 7 mm (50,7°), potrójny kodek H.265/H.264/MJPEG z WiseStream II, strumieniowanie wielokrotne, WDR 120 dB, True Day &amp; Night (ICR), diody LED IR o dużej "&amp;"mocy z widoczną długością podczerwieni 30 m, zaawansowana analiza wideo i klasyfikacja dźwięku oraz analiza biznesowa, widok z korytarza, wykrywanie ruchu, wykrywanie mgły, HLC, przekazywanie, cyfrowa stabilizacja obrazu, dwukierunkowy dźwięk i dwa gniazd"&amp;"a microSD/SDHC/SDXC, port USB ułatwiający instalację, IK08, PoE/12 V DC")</f>
        <v>Seria X zasilana przez kopułkową kamerę wewnętrzną IR Wisenet 5, 5 MP @30 kl./s, obiektyw stałoogniskowy 7 mm (50,7°),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IK08, PoE/12 V DC</v>
      </c>
      <c r="K129" s="43" t="s">
        <v>21</v>
      </c>
      <c r="L129" s="44">
        <v>634.0</v>
      </c>
      <c r="M129" s="8"/>
      <c r="N129" s="45" t="s">
        <v>22</v>
      </c>
      <c r="O129" s="97"/>
      <c r="P129" s="36"/>
      <c r="Q129" s="35"/>
      <c r="R129" s="68"/>
      <c r="S129" s="68"/>
      <c r="T129" s="68"/>
      <c r="U129" s="35"/>
      <c r="V129" s="35"/>
      <c r="W129" s="35"/>
      <c r="X129" s="35"/>
      <c r="Y129" s="35"/>
      <c r="Z129" s="35"/>
      <c r="AA129" s="35"/>
      <c r="AB129" s="35"/>
      <c r="AC129" s="60"/>
      <c r="AD129" s="85"/>
      <c r="AE129" s="85"/>
      <c r="AF129" s="85"/>
      <c r="AG129" s="85"/>
      <c r="AH129" s="85"/>
      <c r="AI129" s="85"/>
      <c r="AJ129" s="85"/>
      <c r="AK129" s="85"/>
      <c r="AL129" s="85"/>
      <c r="AM129" s="85"/>
      <c r="AN129" s="85"/>
      <c r="AO129" s="85"/>
      <c r="AP129" s="85"/>
    </row>
    <row r="130" ht="90.0" customHeight="1">
      <c r="A130" s="29"/>
      <c r="B130" s="38" t="s">
        <v>118</v>
      </c>
      <c r="C130" s="39" t="s">
        <v>484</v>
      </c>
      <c r="D130" s="40" t="s">
        <v>485</v>
      </c>
      <c r="E130" s="40" t="s">
        <v>168</v>
      </c>
      <c r="F130" s="40" t="s">
        <v>414</v>
      </c>
      <c r="G130" s="39" t="s">
        <v>192</v>
      </c>
      <c r="H130" s="41" t="s">
        <v>19</v>
      </c>
      <c r="I130" s="48" t="s">
        <v>486</v>
      </c>
      <c r="J130" s="42" t="str">
        <f>IFERROR(__xludf.DUMMYFUNCTION("GOOGLETRANSLATE(I130,""en"",""pl"")"),"Seria X oparta na kamerze kopułkowej z mocowaniem sufitowym Wisenet 5, 5 MP @30 kl./s, obiektyw stałoogniskowy 3,7 mm (97,5°), potrójny kodek H.265/H.264/MJPEG z WiseStream II, strumieniowanie wielokrotne, WDR 120 dB, elektroniczny tryb dzień/noc, zaawans"&amp;"owana analiza wideo i klasyfikacja dźwięku oraz analiza biznesowa, widok korytarza, wykrywanie ruchu, wykrywanie mgły, HLC, przekazywanie, cyfrowa stabilizacja obrazu, wbudowany mikrofon, jednokierunkowa transmisja dźwięku i gniazdo microSD/SDHC/SDXC, PoE")</f>
        <v>Seria X oparta na kamerze kopułkowej z mocowaniem sufitowym Wisenet 5, 5 MP @30 kl./s, obiektyw stałoogniskowy 3,7 mm (97,5°), potrójny kodek H.265/H.264/MJPEG z WiseStream II, strumieniowanie wielokrotne, WDR 120 dB, elektroniczny tryb dzień/noc, zaawansowana analiza wideo i klasyfikacja dźwięku oraz analiza biznesowa, widok korytarza, wykrywanie ruchu, wykrywanie mgły, HLC, przekazywanie, cyfrowa stabilizacja obrazu, wbudowany mikrofon, jednokierunkowa transmisja dźwięku i gniazdo microSD/SDHC/SDXC, PoE</v>
      </c>
      <c r="K130" s="43" t="s">
        <v>21</v>
      </c>
      <c r="L130" s="44">
        <v>576.0</v>
      </c>
      <c r="M130" s="8"/>
      <c r="N130" s="45" t="s">
        <v>22</v>
      </c>
      <c r="O130" s="97"/>
      <c r="P130" s="36"/>
      <c r="Q130" s="35"/>
      <c r="R130" s="68"/>
      <c r="S130" s="68"/>
      <c r="T130" s="68"/>
      <c r="U130" s="35"/>
      <c r="V130" s="35"/>
      <c r="W130" s="35"/>
      <c r="X130" s="35"/>
      <c r="Y130" s="35"/>
      <c r="Z130" s="35"/>
      <c r="AA130" s="35"/>
      <c r="AB130" s="35"/>
      <c r="AC130" s="60"/>
      <c r="AD130" s="85"/>
      <c r="AE130" s="85"/>
      <c r="AF130" s="85"/>
      <c r="AG130" s="85"/>
      <c r="AH130" s="85"/>
      <c r="AI130" s="85"/>
      <c r="AJ130" s="85"/>
      <c r="AK130" s="85"/>
      <c r="AL130" s="85"/>
      <c r="AM130" s="85"/>
      <c r="AN130" s="85"/>
      <c r="AO130" s="85"/>
      <c r="AP130" s="85"/>
    </row>
    <row r="131" ht="100.5" customHeight="1">
      <c r="A131" s="29"/>
      <c r="B131" s="38" t="s">
        <v>118</v>
      </c>
      <c r="C131" s="39" t="s">
        <v>487</v>
      </c>
      <c r="D131" s="40" t="s">
        <v>488</v>
      </c>
      <c r="E131" s="40" t="s">
        <v>168</v>
      </c>
      <c r="F131" s="40" t="s">
        <v>414</v>
      </c>
      <c r="G131" s="39" t="s">
        <v>184</v>
      </c>
      <c r="H131" s="41" t="s">
        <v>489</v>
      </c>
      <c r="I131" s="48" t="s">
        <v>490</v>
      </c>
      <c r="J131" s="42" t="str">
        <f>IFERROR(__xludf.DUMMYFUNCTION("GOOGLETRANSLATE(I131,""en"",""pl"")"),"Seria X zasilana przez kamerę kopułkową Wisenet 5 z podczerwienią, zewnętrzną, ze stali nierdzewnej, zabezpieczoną przed wandalizmem, 5 MP @60 kl./s, obiektyw zmiennoogniskowy 3,9 ~ 9,4 mm z napędem silnikowym (2,4x) (93°~38°), potrójny kodek H.265/H.264/"&amp;"MJPEG z WiseStream II, strumieniowanie wielokrotne, WDR 120 dB, True Day &amp; Night (ICR), diody LED IR o dużej mocy z widoczną długością podczerwieni 50 m, zaawansowana analiza wideo i klasyfikacja dźwięku, widok z korytarza, wykrywanie ruchu, wykrywanie mg"&amp;"ły, HLC, przekazywanie, cyfrowa stabilizacja obrazu, dwukierunkowy dźwięk i dwa gniazda microSD/SDHC/SDXC, port USB ułatwiający instalację, IP66, IP6K9K, IK10+, Nema 4X, PoE/12 V DC/24 V AC")</f>
        <v>Seria X zasilana przez kamerę kopułkową Wisenet 5 z podczerwienią, zewnętrzną, ze stali nierdzewnej, zabezpieczoną przed wandalizmem, 5 MP @60 kl./s, obiektyw zmiennoogniskowy 3,9 ~ 9,4 mm z napędem silnikowym (2,4x) (93°~38°), potrójny kodek H.265/H.264/MJPEG z WiseStream II, strumieniowanie wielokrotne, WDR 120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microSD/SDHC/SDXC, port USB ułatwiający instalację, IP66, IP6K9K, IK10+, Nema 4X, PoE/12 V DC/24 V AC</v>
      </c>
      <c r="K131" s="43" t="s">
        <v>21</v>
      </c>
      <c r="L131" s="44">
        <v>2293.0</v>
      </c>
      <c r="M131" s="8"/>
      <c r="N131" s="45" t="s">
        <v>22</v>
      </c>
      <c r="O131" s="97"/>
      <c r="P131" s="36"/>
      <c r="Q131" s="35"/>
      <c r="R131" s="68"/>
      <c r="S131" s="68"/>
      <c r="T131" s="68"/>
      <c r="U131" s="35"/>
      <c r="V131" s="35"/>
      <c r="W131" s="35"/>
      <c r="X131" s="35"/>
      <c r="Y131" s="35"/>
      <c r="Z131" s="35"/>
      <c r="AA131" s="35"/>
      <c r="AB131" s="35"/>
      <c r="AC131" s="60"/>
      <c r="AD131" s="85"/>
      <c r="AE131" s="85"/>
      <c r="AF131" s="85"/>
      <c r="AG131" s="85"/>
      <c r="AH131" s="85"/>
      <c r="AI131" s="85"/>
      <c r="AJ131" s="85"/>
      <c r="AK131" s="85"/>
      <c r="AL131" s="85"/>
      <c r="AM131" s="85"/>
      <c r="AN131" s="85"/>
      <c r="AO131" s="85"/>
      <c r="AP131" s="85"/>
    </row>
    <row r="132" ht="97.5" customHeight="1">
      <c r="A132" s="29"/>
      <c r="B132" s="38" t="s">
        <v>118</v>
      </c>
      <c r="C132" s="39" t="s">
        <v>491</v>
      </c>
      <c r="D132" s="40" t="s">
        <v>492</v>
      </c>
      <c r="E132" s="40" t="s">
        <v>168</v>
      </c>
      <c r="F132" s="40" t="s">
        <v>414</v>
      </c>
      <c r="G132" s="39" t="s">
        <v>184</v>
      </c>
      <c r="H132" s="41" t="s">
        <v>19</v>
      </c>
      <c r="I132" s="48" t="s">
        <v>493</v>
      </c>
      <c r="J132" s="42" t="str">
        <f>IFERROR(__xludf.DUMMYFUNCTION("GOOGLETRANSLATE(I132,""en"",""pl"")"),"Seria X zasilana przez zewnętrzną kamerę kopułkową IR Wisenet 5, 5 MP @30 kl./s, obiektyw zmiennoogniskowy z napędem silnikowym 3,9 ~ 9,4 mm (2,4x) (92,1°~38,7°), potrójny kodek H.265/H.264/MJPEG z WiseStream II, strumieniowanie wielokrotne, WDR 120 dB, T"&amp;"rue Day &amp; Night (ICR), diody LED IR o dużej mocy z widoczną długością podczerwieni 50 m, zaawansowana analiza wideo i klasyfikacja dźwięku, widok z korytarza, wykrywanie ruchu, wykrywanie mgły, HLC, przekazywanie, cyfrowa stabilizacja obrazu, dwukierunkow"&amp;"y dźwięk i dwa gniazda microSD/SDHC/SDXC, port USB ułatwiający instalację, IP67, IK10, Nema 4X, PoE/12 V DC/24 V AC")</f>
        <v>Seria X zasilana przez zewnętrzną kamerę kopułkową IR Wisenet 5, 5 MP @30 kl./s, obiektyw zmiennoogniskowy z napędem silnikowym 3,9 ~ 9,4 mm (2,4x) (92,1°~38,7°), potrójny kodek H.265/H.264/MJPEG z WiseStream II, strumieniowanie wielokrotne, WDR 120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microSD/SDHC/SDXC, port USB ułatwiający instalację, IP67, IK10, Nema 4X, PoE/12 V DC/24 V AC</v>
      </c>
      <c r="K132" s="43" t="s">
        <v>21</v>
      </c>
      <c r="L132" s="44">
        <v>1220.0</v>
      </c>
      <c r="M132" s="8"/>
      <c r="N132" s="45" t="s">
        <v>22</v>
      </c>
      <c r="O132" s="97"/>
      <c r="P132" s="36"/>
      <c r="Q132" s="35"/>
      <c r="R132" s="68"/>
      <c r="S132" s="68"/>
      <c r="T132" s="68"/>
      <c r="U132" s="35"/>
      <c r="V132" s="35"/>
      <c r="W132" s="35"/>
      <c r="X132" s="35"/>
      <c r="Y132" s="35"/>
      <c r="Z132" s="35"/>
      <c r="AA132" s="35"/>
      <c r="AB132" s="35"/>
      <c r="AC132" s="60"/>
      <c r="AD132" s="85"/>
      <c r="AE132" s="85"/>
      <c r="AF132" s="85"/>
      <c r="AG132" s="85"/>
      <c r="AH132" s="85"/>
      <c r="AI132" s="85"/>
      <c r="AJ132" s="85"/>
      <c r="AK132" s="85"/>
      <c r="AL132" s="85"/>
      <c r="AM132" s="85"/>
      <c r="AN132" s="85"/>
      <c r="AO132" s="85"/>
      <c r="AP132" s="85"/>
    </row>
    <row r="133" ht="90.0" customHeight="1">
      <c r="A133" s="29"/>
      <c r="B133" s="38" t="s">
        <v>118</v>
      </c>
      <c r="C133" s="39" t="s">
        <v>494</v>
      </c>
      <c r="D133" s="40" t="s">
        <v>495</v>
      </c>
      <c r="E133" s="40" t="s">
        <v>168</v>
      </c>
      <c r="F133" s="40" t="s">
        <v>414</v>
      </c>
      <c r="G133" s="39" t="s">
        <v>184</v>
      </c>
      <c r="H133" s="41" t="s">
        <v>19</v>
      </c>
      <c r="I133" s="48" t="s">
        <v>496</v>
      </c>
      <c r="J133" s="42" t="str">
        <f>IFERROR(__xludf.DUMMYFUNCTION("GOOGLETRANSLATE(I133,""en"",""pl"")"),"Seria X zasilana przez zewnętrzną kamerę kopułkową Wisenet 5 z podczerwienią, zabezpieczoną przed wandalizmem, 5 MP @30 kl./s, obiektyw stałoogniskowy 3,7 mm (97,5°), potrójny kodek H.265/H.264/MJPEG z WiseStream II, strumieniowanie wielokrotne, WDR 120 d"&amp;"B, True Day &amp; Night (ICR), diody LED IR o dużej mocy z widoczną długością podczerwieni 30 m, zaawansowana analiza wideo i klasyfikacja dźwięku oraz analiza biznesowa, widok z korytarza, wykrywanie ruchu, wykrywanie mgły, HLC, przekazywanie, cyfrowa stabil"&amp;"izacja obrazu, dwukierunkowy dźwięk i dwa gniazda microSD/SDHC/SDXC, port USB ułatwiający instalację, IP67, IK10, PoE/12 V DC")</f>
        <v>Seria X zasilana przez zewnętrzną kamerę kopułkową Wisenet 5 z podczerwienią, zabezpieczoną przed wandalizmem, 5 MP @30 kl./s, obiektyw stałoogniskowy 3,7 mm (97,5°),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IP67, IK10, PoE/12 V DC</v>
      </c>
      <c r="K133" s="43" t="s">
        <v>21</v>
      </c>
      <c r="L133" s="44">
        <v>720.0</v>
      </c>
      <c r="M133" s="8"/>
      <c r="N133" s="45" t="s">
        <v>22</v>
      </c>
      <c r="O133" s="97"/>
      <c r="P133" s="36"/>
      <c r="Q133" s="35"/>
      <c r="R133" s="68"/>
      <c r="S133" s="68"/>
      <c r="T133" s="68"/>
      <c r="U133" s="35"/>
      <c r="V133" s="35"/>
      <c r="W133" s="35"/>
      <c r="X133" s="35"/>
      <c r="Y133" s="35"/>
      <c r="Z133" s="35"/>
      <c r="AA133" s="35"/>
      <c r="AB133" s="35"/>
      <c r="AC133" s="60"/>
      <c r="AD133" s="85"/>
      <c r="AE133" s="85"/>
      <c r="AF133" s="85"/>
      <c r="AG133" s="85"/>
      <c r="AH133" s="85"/>
      <c r="AI133" s="85"/>
      <c r="AJ133" s="85"/>
      <c r="AK133" s="85"/>
      <c r="AL133" s="85"/>
      <c r="AM133" s="85"/>
      <c r="AN133" s="85"/>
      <c r="AO133" s="85"/>
      <c r="AP133" s="85"/>
    </row>
    <row r="134" ht="90.0" customHeight="1">
      <c r="A134" s="29"/>
      <c r="B134" s="38" t="s">
        <v>118</v>
      </c>
      <c r="C134" s="39" t="s">
        <v>497</v>
      </c>
      <c r="D134" s="40" t="s">
        <v>492</v>
      </c>
      <c r="E134" s="40" t="s">
        <v>168</v>
      </c>
      <c r="F134" s="40" t="s">
        <v>414</v>
      </c>
      <c r="G134" s="39" t="s">
        <v>184</v>
      </c>
      <c r="H134" s="41" t="s">
        <v>19</v>
      </c>
      <c r="I134" s="48" t="s">
        <v>498</v>
      </c>
      <c r="J134" s="42" t="str">
        <f>IFERROR(__xludf.DUMMYFUNCTION("GOOGLETRANSLATE(I134,""en"",""pl"")"),"Seria X zasilana przez zewnętrzną kamerę kopułkową Wisenet 5 z podczerwienią, zabezpieczoną przed wandalizmem, 5 MP @30 kl./s, obiektyw stałoogniskowy 4,6 mm (77,9°), potrójny kodek H.265/H.264/MJPEG z WiseStream II, strumieniowanie wielokrotne, WDR 120 d"&amp;"B, True Day &amp; Night (ICR), diody LED IR o dużej mocy z widoczną długością podczerwieni 30 m, zaawansowana analiza wideo i klasyfikacja dźwięku oraz analiza biznesowa, widok z korytarza, wykrywanie ruchu, wykrywanie mgły, HLC, przekazywanie, cyfrowa stabil"&amp;"izacja obrazu, dwukierunkowy dźwięk i dwa gniazda microSD/SDHC/SDXC, port USB ułatwiający instalację, IP67, IK10, PoE/12 V DC")</f>
        <v>Seria X zasilana przez zewnętrzną kamerę kopułkową Wisenet 5 z podczerwienią, zabezpieczoną przed wandalizmem, 5 MP @30 kl./s, obiektyw stałoogniskowy 4,6 mm (77,9°),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IP67, IK10, PoE/12 V DC</v>
      </c>
      <c r="K134" s="43" t="s">
        <v>21</v>
      </c>
      <c r="L134" s="44">
        <v>720.0</v>
      </c>
      <c r="M134" s="8"/>
      <c r="N134" s="45" t="s">
        <v>22</v>
      </c>
      <c r="O134" s="97"/>
      <c r="P134" s="36"/>
      <c r="Q134" s="35"/>
      <c r="R134" s="68"/>
      <c r="S134" s="68"/>
      <c r="T134" s="68"/>
      <c r="U134" s="35"/>
      <c r="V134" s="35"/>
      <c r="W134" s="35"/>
      <c r="X134" s="35"/>
      <c r="Y134" s="35"/>
      <c r="Z134" s="35"/>
      <c r="AA134" s="35"/>
      <c r="AB134" s="35"/>
      <c r="AC134" s="60"/>
      <c r="AD134" s="85"/>
      <c r="AE134" s="85"/>
      <c r="AF134" s="85"/>
      <c r="AG134" s="85"/>
      <c r="AH134" s="85"/>
      <c r="AI134" s="85"/>
      <c r="AJ134" s="85"/>
      <c r="AK134" s="85"/>
      <c r="AL134" s="85"/>
      <c r="AM134" s="85"/>
      <c r="AN134" s="85"/>
      <c r="AO134" s="85"/>
      <c r="AP134" s="85"/>
    </row>
    <row r="135" ht="90.0" customHeight="1">
      <c r="A135" s="29"/>
      <c r="B135" s="38" t="s">
        <v>118</v>
      </c>
      <c r="C135" s="39" t="s">
        <v>499</v>
      </c>
      <c r="D135" s="40" t="s">
        <v>492</v>
      </c>
      <c r="E135" s="40" t="s">
        <v>168</v>
      </c>
      <c r="F135" s="40" t="s">
        <v>414</v>
      </c>
      <c r="G135" s="39" t="s">
        <v>184</v>
      </c>
      <c r="H135" s="41" t="s">
        <v>19</v>
      </c>
      <c r="I135" s="48" t="s">
        <v>500</v>
      </c>
      <c r="J135" s="42" t="str">
        <f>IFERROR(__xludf.DUMMYFUNCTION("GOOGLETRANSLATE(I135,""en"",""pl"")"),"Seria X zasilana przez zewnętrzną kamerę kopułkową Wisenet 5 z podczerwienią, zabezpieczoną przed wandalizmem, 5 MP @30 kl./s, obiektyw stałoogniskowy 7 mm (50,7°), potrójny kodek H.265/H.264/MJPEG z WiseStream II, strumieniowanie wielokrotne, WDR 120 dB,"&amp;" True Day &amp; Night (ICR), diody LED IR o dużej mocy z widoczną długością podczerwieni 30 m, zaawansowana analiza wideo i klasyfikacja dźwięku oraz analiza biznesowa, widok z korytarza, wykrywanie ruchu, wykrywanie mgły, HLC, przekazywanie, cyfrowa stabiliz"&amp;"acja obrazu, dwukierunkowy dźwięk i dwa gniazda microSD/SDHC/SDXC, port USB ułatwiający instalację, IP67, IK10, PoE/12 V DC")</f>
        <v>Seria X zasilana przez zewnętrzną kamerę kopułkową Wisenet 5 z podczerwienią, zabezpieczoną przed wandalizmem, 5 MP @30 kl./s, obiektyw stałoogniskowy 7 mm (50,7°), potrójny kodek H.265/H.264/MJPEG z WiseStream II, strumieniowanie wielokrotne, WDR 120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IP67, IK10, PoE/12 V DC</v>
      </c>
      <c r="K135" s="43" t="s">
        <v>21</v>
      </c>
      <c r="L135" s="44">
        <v>720.0</v>
      </c>
      <c r="M135" s="8"/>
      <c r="N135" s="45" t="s">
        <v>22</v>
      </c>
      <c r="O135" s="97"/>
      <c r="P135" s="36"/>
      <c r="Q135" s="35"/>
      <c r="R135" s="68"/>
      <c r="S135" s="68"/>
      <c r="T135" s="68"/>
      <c r="U135" s="35"/>
      <c r="V135" s="35"/>
      <c r="W135" s="35"/>
      <c r="X135" s="35"/>
      <c r="Y135" s="35"/>
      <c r="Z135" s="35"/>
      <c r="AA135" s="35"/>
      <c r="AB135" s="35"/>
      <c r="AC135" s="60"/>
      <c r="AD135" s="85"/>
      <c r="AE135" s="85"/>
      <c r="AF135" s="85"/>
      <c r="AG135" s="85"/>
      <c r="AH135" s="85"/>
      <c r="AI135" s="85"/>
      <c r="AJ135" s="85"/>
      <c r="AK135" s="85"/>
      <c r="AL135" s="85"/>
      <c r="AM135" s="85"/>
      <c r="AN135" s="85"/>
      <c r="AO135" s="85"/>
      <c r="AP135" s="85"/>
    </row>
    <row r="136" ht="90.0" customHeight="1">
      <c r="A136" s="29"/>
      <c r="B136" s="38" t="s">
        <v>118</v>
      </c>
      <c r="C136" s="39" t="s">
        <v>501</v>
      </c>
      <c r="D136" s="40" t="s">
        <v>464</v>
      </c>
      <c r="E136" s="40" t="s">
        <v>174</v>
      </c>
      <c r="F136" s="40" t="s">
        <v>414</v>
      </c>
      <c r="G136" s="39" t="s">
        <v>18</v>
      </c>
      <c r="H136" s="41" t="s">
        <v>19</v>
      </c>
      <c r="I136" s="48" t="s">
        <v>502</v>
      </c>
      <c r="J136" s="42" t="str">
        <f>IFERROR(__xludf.DUMMYFUNCTION("GOOGLETRANSLATE(I136,""en"",""pl"")"),"Kamera zewnętrzna z serii Q z kamerą typu bullet z podczerwienią i zabezpieczeniem przed wandalizmem, 5 MP @30 kl./s, obiektyw zmiennoogniskowy z napędem silnikowym 3,2–10,0 mm (3,14x) (100,0°–30,0°), potrójny kodek H.265/H.264/MJPEG z technologią WiseStr"&amp;"eam II, strumieniowanie wielokrotne, WDR 120 dB, automatyczny tryb dzień/noc (ICR), widoczność podczerwieni 30 m, zaawansowana analiza wideo, widok na korytarz, detekcja ruchu, LDC (korekcja zniekształceń obiektywu), gniazdo SD/SDHC/SDXC, CVBS ułatwiający"&amp;" instalację, IP66, IK10, PoE")</f>
        <v>Kamera zewnętrzna z serii Q z kamerą typu bullet z podczerwienią i zabezpieczeniem przed wandalizmem, 5 MP @30 kl./s, obiektyw zmiennoogniskowy z napędem silnikowym 3,2–10,0 mm (3,14x) (100,0°–30,0°), potrójny kodek H.265/H.264/MJPEG z technologią WiseStream II, strumieniowanie wielokrotne, WDR 120 dB, automatyczny tryb dzień/noc (ICR), widoczność podczerwieni 30 m, zaawansowana analiza wideo, widok na korytarz, detekcja ruchu, LDC (korekcja zniekształceń obiektywu), gniazdo SD/SDHC/SDXC, CVBS ułatwiający instalację, IP66, IK10, PoE</v>
      </c>
      <c r="K136" s="43" t="s">
        <v>21</v>
      </c>
      <c r="L136" s="44">
        <v>646.0</v>
      </c>
      <c r="M136" s="8"/>
      <c r="N136" s="45" t="s">
        <v>22</v>
      </c>
      <c r="O136" s="97"/>
      <c r="P136" s="35"/>
      <c r="Q136" s="35"/>
      <c r="R136" s="68"/>
      <c r="S136" s="68"/>
      <c r="T136" s="68"/>
      <c r="U136" s="35"/>
      <c r="V136" s="35"/>
      <c r="W136" s="35"/>
      <c r="X136" s="35"/>
      <c r="Y136" s="35"/>
      <c r="Z136" s="35"/>
      <c r="AA136" s="35"/>
      <c r="AB136" s="35"/>
      <c r="AC136" s="101"/>
      <c r="AD136" s="98"/>
      <c r="AE136" s="98"/>
      <c r="AF136" s="98"/>
      <c r="AG136" s="98"/>
      <c r="AH136" s="98"/>
      <c r="AI136" s="98"/>
      <c r="AJ136" s="98"/>
      <c r="AK136" s="98"/>
      <c r="AL136" s="98"/>
      <c r="AM136" s="98"/>
      <c r="AN136" s="98"/>
      <c r="AO136" s="98"/>
      <c r="AP136" s="98"/>
    </row>
    <row r="137" ht="90.0" customHeight="1">
      <c r="A137" s="29"/>
      <c r="B137" s="38" t="s">
        <v>118</v>
      </c>
      <c r="C137" s="39" t="s">
        <v>503</v>
      </c>
      <c r="D137" s="40" t="s">
        <v>464</v>
      </c>
      <c r="E137" s="40" t="s">
        <v>174</v>
      </c>
      <c r="F137" s="40" t="s">
        <v>414</v>
      </c>
      <c r="G137" s="39" t="s">
        <v>18</v>
      </c>
      <c r="H137" s="41" t="s">
        <v>19</v>
      </c>
      <c r="I137" s="48" t="s">
        <v>504</v>
      </c>
      <c r="J137" s="42" t="str">
        <f>IFERROR(__xludf.DUMMYFUNCTION("GOOGLETRANSLATE(I137,""en"",""pl"")"),"Kamera zewnętrzna z serii Q z kamerą typu bullet z IR, sieciowa, wandaloodporna, 5 MP @30 kl./s, obiektyw stałoogniskowy 4,0 mm (79,8°), potrójny kodek H.265/H.264/MJPEG z technologią WiseStream II, strumieniowanie wielokrotne, WDR 120 dB, automatyczny tr"&amp;"yb dzień/noc (ICR), widoczność podczerwieni 25 m, zaawansowana analiza wideo, widok na korytarz, detekcja ruchu, LDC (korekcja zniekształceń obiektywu), gniazdo SD/SDHC/SDXC, CVBS ułatwiający instalację, IP66, IK10, PoE")</f>
        <v>Kamera zewnętrzna z serii Q z kamerą typu bullet z IR, sieciowa, wandaloodporna, 5 MP @30 kl./s, obiektyw stałoogniskowy 4,0 mm (79,8°), potrójny kodek H.265/H.264/MJPEG z technologią WiseStream II, strumieniowanie wielokrotne, WDR 120 dB, automatyczny tryb dzień/noc (ICR), widoczność podczerwieni 25 m, zaawansowana analiza wideo, widok na korytarz, detekcja ruchu, LDC (korekcja zniekształceń obiektywu), gniazdo SD/SDHC/SDXC, CVBS ułatwiający instalację, IP66, IK10, PoE</v>
      </c>
      <c r="K137" s="43" t="s">
        <v>21</v>
      </c>
      <c r="L137" s="44">
        <v>412.0</v>
      </c>
      <c r="M137" s="8"/>
      <c r="N137" s="45" t="s">
        <v>22</v>
      </c>
      <c r="O137" s="97"/>
      <c r="P137" s="36"/>
      <c r="Q137" s="35"/>
      <c r="R137" s="68"/>
      <c r="S137" s="68"/>
      <c r="T137" s="68"/>
      <c r="U137" s="35"/>
      <c r="V137" s="35"/>
      <c r="W137" s="35"/>
      <c r="X137" s="35"/>
      <c r="Y137" s="35"/>
      <c r="Z137" s="35"/>
      <c r="AA137" s="35"/>
      <c r="AB137" s="35"/>
      <c r="AC137" s="60"/>
      <c r="AD137" s="85"/>
      <c r="AE137" s="85"/>
      <c r="AF137" s="85"/>
      <c r="AG137" s="85"/>
      <c r="AH137" s="85"/>
      <c r="AI137" s="85"/>
      <c r="AJ137" s="85"/>
      <c r="AK137" s="85"/>
      <c r="AL137" s="85"/>
      <c r="AM137" s="85"/>
      <c r="AN137" s="85"/>
      <c r="AO137" s="85"/>
      <c r="AP137" s="85"/>
    </row>
    <row r="138" ht="90.0" customHeight="1">
      <c r="A138" s="29"/>
      <c r="B138" s="38" t="s">
        <v>118</v>
      </c>
      <c r="C138" s="39" t="s">
        <v>505</v>
      </c>
      <c r="D138" s="40" t="s">
        <v>464</v>
      </c>
      <c r="E138" s="40" t="s">
        <v>174</v>
      </c>
      <c r="F138" s="40" t="s">
        <v>414</v>
      </c>
      <c r="G138" s="39" t="s">
        <v>18</v>
      </c>
      <c r="H138" s="41" t="s">
        <v>19</v>
      </c>
      <c r="I138" s="48" t="s">
        <v>506</v>
      </c>
      <c r="J138" s="42" t="str">
        <f>IFERROR(__xludf.DUMMYFUNCTION("GOOGLETRANSLATE(I138,""en"",""pl"")"),"Kamera zewnętrzna z serii Q z kamerą typu bullet z IR, sieciowa, wandaloodporna, 5 MP @30 kl./s, obiektyw stałoogniskowy 2,8 mm (104,7°), potrójny kodek H.265/H.264/MJPEG z technologią WiseStream II, strumieniowanie wielokrotne, WDR 120 dB, automatyczny t"&amp;"ryb dzień/noc (ICR), widoczność podczerwieni 20 m, zaawansowana analiza wideo, widok na korytarz, detekcja ruchu, LDC (korekcja zniekształceń obiektywu), gniazdo SD/SDHC/SDXC, CVBS ułatwiający instalację, IP66, IK10, PoE")</f>
        <v>Kamera zewnętrzna z serii Q z kamerą typu bullet z IR, sieciowa, wandaloodporna, 5 MP @30 kl./s, obiektyw stałoogniskowy 2,8 mm (104,7°), potrójny kodek H.265/H.264/MJPEG z technologią WiseStream II, strumieniowanie wielokrotne, WDR 120 dB, automatyczny tryb dzień/noc (ICR), widoczność podczerwieni 20 m, zaawansowana analiza wideo, widok na korytarz, detekcja ruchu, LDC (korekcja zniekształceń obiektywu), gniazdo SD/SDHC/SDXC, CVBS ułatwiający instalację, IP66, IK10, PoE</v>
      </c>
      <c r="K138" s="43" t="s">
        <v>21</v>
      </c>
      <c r="L138" s="44">
        <v>412.0</v>
      </c>
      <c r="M138" s="8"/>
      <c r="N138" s="45" t="s">
        <v>22</v>
      </c>
      <c r="O138" s="97"/>
      <c r="P138" s="36"/>
      <c r="Q138" s="35"/>
      <c r="R138" s="68"/>
      <c r="S138" s="68"/>
      <c r="T138" s="68"/>
      <c r="U138" s="35"/>
      <c r="V138" s="35"/>
      <c r="W138" s="35"/>
      <c r="X138" s="35"/>
      <c r="Y138" s="35"/>
      <c r="Z138" s="35"/>
      <c r="AA138" s="35"/>
      <c r="AB138" s="35"/>
      <c r="AC138" s="60"/>
      <c r="AD138" s="85"/>
      <c r="AE138" s="85"/>
      <c r="AF138" s="85"/>
      <c r="AG138" s="85"/>
      <c r="AH138" s="85"/>
      <c r="AI138" s="85"/>
      <c r="AJ138" s="85"/>
      <c r="AK138" s="85"/>
      <c r="AL138" s="85"/>
      <c r="AM138" s="85"/>
      <c r="AN138" s="85"/>
      <c r="AO138" s="85"/>
      <c r="AP138" s="85"/>
    </row>
    <row r="139" ht="90.0" customHeight="1">
      <c r="A139" s="29"/>
      <c r="B139" s="38" t="s">
        <v>118</v>
      </c>
      <c r="C139" s="39" t="s">
        <v>507</v>
      </c>
      <c r="D139" s="40" t="s">
        <v>476</v>
      </c>
      <c r="E139" s="40" t="s">
        <v>174</v>
      </c>
      <c r="F139" s="40" t="s">
        <v>414</v>
      </c>
      <c r="G139" s="39" t="s">
        <v>192</v>
      </c>
      <c r="H139" s="41" t="s">
        <v>19</v>
      </c>
      <c r="I139" s="48" t="s">
        <v>508</v>
      </c>
      <c r="J139" s="42" t="str">
        <f>IFERROR(__xludf.DUMMYFUNCTION("GOOGLETRANSLATE(I139,""en"",""pl"")"),"Kamera kopułkowa sieciowa IR serii Q do użytku wewnętrznego, 5 MP @30 kl./s, obiektyw zmiennoogniskowy z napędem silnikowym 3,2 ~ 10,0 mm (3,1x) (100,3°~31,2°), potrójny kodek H.265/H.264/MJPEG z WiseStream II, strumieniowanie wielokrotne, WDR 120 dB, aut"&amp;"omatyczny tryb dzień/noc (ICR), widoczna długość podczerwieni 20 m, zaawansowana analiza wideo, widok korytarzowy, detekcja ruchu, LDC (korekcja zniekształceń obiektywu), gniazdo SD/SDHC/SDXC, CVBS ułatwiający instalację, PoE")</f>
        <v>Kamera kopułkowa sieciowa IR serii Q do użytku wewnętrznego, 5 MP @30 kl./s, obiektyw zmiennoogniskowy z napędem silnikowym 3,2 ~ 10,0 mm (3,1x) (100,3°~31,2°), potrójny kodek H.265/H.264/MJPEG z WiseStream II, strumieniowanie wielokrotne, WDR 120 dB, automatyczny tryb dzień/noc (ICR), widoczna długość podczerwieni 20 m, zaawansowana analiza wideo, widok korytarzowy, detekcja ruchu, LDC (korekcja zniekształceń obiektywu), gniazdo SD/SDHC/SDXC, CVBS ułatwiający instalację, PoE</v>
      </c>
      <c r="K139" s="43" t="s">
        <v>21</v>
      </c>
      <c r="L139" s="44">
        <v>615.0</v>
      </c>
      <c r="M139" s="8"/>
      <c r="N139" s="45" t="s">
        <v>22</v>
      </c>
      <c r="O139" s="97"/>
      <c r="P139" s="36"/>
      <c r="Q139" s="35"/>
      <c r="R139" s="68"/>
      <c r="S139" s="68"/>
      <c r="T139" s="68"/>
      <c r="U139" s="35"/>
      <c r="V139" s="35"/>
      <c r="W139" s="35"/>
      <c r="X139" s="35"/>
      <c r="Y139" s="35"/>
      <c r="Z139" s="35"/>
      <c r="AA139" s="35"/>
      <c r="AB139" s="35"/>
      <c r="AC139" s="60"/>
      <c r="AD139" s="85"/>
      <c r="AE139" s="85"/>
      <c r="AF139" s="85"/>
      <c r="AG139" s="85"/>
      <c r="AH139" s="85"/>
      <c r="AI139" s="85"/>
      <c r="AJ139" s="85"/>
      <c r="AK139" s="85"/>
      <c r="AL139" s="85"/>
      <c r="AM139" s="85"/>
      <c r="AN139" s="85"/>
      <c r="AO139" s="85"/>
      <c r="AP139" s="85"/>
    </row>
    <row r="140" ht="90.0" customHeight="1">
      <c r="A140" s="29"/>
      <c r="B140" s="38" t="s">
        <v>118</v>
      </c>
      <c r="C140" s="39" t="s">
        <v>509</v>
      </c>
      <c r="D140" s="40" t="s">
        <v>476</v>
      </c>
      <c r="E140" s="40" t="s">
        <v>174</v>
      </c>
      <c r="F140" s="40" t="s">
        <v>414</v>
      </c>
      <c r="G140" s="39" t="s">
        <v>192</v>
      </c>
      <c r="H140" s="41" t="s">
        <v>19</v>
      </c>
      <c r="I140" s="48" t="s">
        <v>510</v>
      </c>
      <c r="J140" s="42" t="str">
        <f>IFERROR(__xludf.DUMMYFUNCTION("GOOGLETRANSLATE(I140,""en"",""pl"")"),"Kamera kopułkowa sieciowa IR serii Q do użytku wewnętrznego, 5 MP @30 kl./s, obiektyw stałoogniskowy 4,0 mm (79,8°), potrójny kodek H.265/H.264/MJPEG z WiseStream II, strumieniowanie wielokrotne, WDR 120 dB, automatyczny tryb dzień/noc (ICR), widoczność p"&amp;"odczerwieni 20 m, zaawansowana analiza wideo, widok korytarzowy, detekcja ruchu, LDC (korekcja zniekształceń obiektywu), gniazdo SD/SDHC/SDXC, CVBS ułatwiający instalację, PoE")</f>
        <v>Kamera kopułkowa sieciowa IR serii Q do użytku wewnętrznego, 5 MP @30 kl./s, obiektyw stałoogniskowy 4,0 mm (79,8°), potrójny kodek H.265/H.264/MJPEG z WiseStream II, strumieniowanie wielokrotne, WDR 120 dB, automatyczny tryb dzień/noc (ICR), widoczność podczerwieni 20 m, zaawansowana analiza wideo, widok korytarzowy, detekcja ruchu, LDC (korekcja zniekształceń obiektywu), gniazdo SD/SDHC/SDXC, CVBS ułatwiający instalację, PoE</v>
      </c>
      <c r="K140" s="43" t="s">
        <v>21</v>
      </c>
      <c r="L140" s="44">
        <v>341.0</v>
      </c>
      <c r="M140" s="8"/>
      <c r="N140" s="45" t="s">
        <v>22</v>
      </c>
      <c r="O140" s="97"/>
      <c r="P140" s="36"/>
      <c r="Q140" s="35"/>
      <c r="R140" s="68"/>
      <c r="S140" s="68"/>
      <c r="T140" s="68"/>
      <c r="U140" s="35"/>
      <c r="V140" s="35"/>
      <c r="W140" s="35"/>
      <c r="X140" s="35"/>
      <c r="Y140" s="35"/>
      <c r="Z140" s="35"/>
      <c r="AA140" s="35"/>
      <c r="AB140" s="35"/>
      <c r="AC140" s="60"/>
      <c r="AD140" s="85"/>
      <c r="AE140" s="85"/>
      <c r="AF140" s="85"/>
      <c r="AG140" s="85"/>
      <c r="AH140" s="85"/>
      <c r="AI140" s="85"/>
      <c r="AJ140" s="85"/>
      <c r="AK140" s="85"/>
      <c r="AL140" s="85"/>
      <c r="AM140" s="85"/>
      <c r="AN140" s="85"/>
      <c r="AO140" s="85"/>
      <c r="AP140" s="85"/>
    </row>
    <row r="141" ht="90.0" customHeight="1">
      <c r="A141" s="29"/>
      <c r="B141" s="38" t="s">
        <v>118</v>
      </c>
      <c r="C141" s="39" t="s">
        <v>511</v>
      </c>
      <c r="D141" s="40" t="s">
        <v>476</v>
      </c>
      <c r="E141" s="40" t="s">
        <v>174</v>
      </c>
      <c r="F141" s="40" t="s">
        <v>414</v>
      </c>
      <c r="G141" s="39" t="s">
        <v>192</v>
      </c>
      <c r="H141" s="41" t="s">
        <v>19</v>
      </c>
      <c r="I141" s="48" t="s">
        <v>512</v>
      </c>
      <c r="J141" s="42" t="str">
        <f>IFERROR(__xludf.DUMMYFUNCTION("GOOGLETRANSLATE(I141,""en"",""pl"")"),"Kamera kopułkowa wewnętrzna IR serii Q, 5 MP @30fps, obiektyw stałoogniskowy 2,8 mm (104,7°), potrójny kodek H.265/H.264/MJPEG z WiseStream II, strumieniowanie wielokrotne, WDR 120 dB, automatyczny tryb dzień/noc (ICR), widoczność podczerwieni 20 m, zaawa"&amp;"nsowana analiza wideo, widok korytarzowy, detekcja ruchu, LDC (korekcja zniekształceń obiektywu), gniazdo SD/SDHC/SDXC, CVBS ułatwiający instalację, PoE")</f>
        <v>Kamera kopułkowa wewnętrzna IR serii Q, 5 MP @30fps, obiektyw stałoogniskowy 2,8 mm (104,7°), potrójny kodek H.265/H.264/MJPEG z WiseStream II, strumieniowanie wielokrotne, WDR 120 dB, automatyczny tryb dzień/noc (ICR), widoczność podczerwieni 20 m, zaawansowana analiza wideo, widok korytarzowy, detekcja ruchu, LDC (korekcja zniekształceń obiektywu), gniazdo SD/SDHC/SDXC, CVBS ułatwiający instalację, PoE</v>
      </c>
      <c r="K141" s="43" t="s">
        <v>21</v>
      </c>
      <c r="L141" s="44">
        <v>341.0</v>
      </c>
      <c r="M141" s="8"/>
      <c r="N141" s="45" t="s">
        <v>22</v>
      </c>
      <c r="O141" s="97"/>
      <c r="P141" s="36"/>
      <c r="Q141" s="9"/>
      <c r="R141" s="59"/>
      <c r="S141" s="59"/>
      <c r="T141" s="59"/>
      <c r="U141" s="9"/>
      <c r="V141" s="9"/>
      <c r="W141" s="9"/>
      <c r="X141" s="9"/>
      <c r="Y141" s="9"/>
      <c r="Z141" s="9"/>
      <c r="AA141" s="9"/>
      <c r="AB141" s="9"/>
      <c r="AC141" s="60"/>
      <c r="AD141" s="85"/>
      <c r="AE141" s="85"/>
      <c r="AF141" s="85"/>
      <c r="AG141" s="85"/>
      <c r="AH141" s="85"/>
      <c r="AI141" s="61"/>
      <c r="AJ141" s="61"/>
      <c r="AK141" s="61"/>
      <c r="AL141" s="85"/>
      <c r="AM141" s="85"/>
      <c r="AN141" s="85"/>
      <c r="AO141" s="85"/>
      <c r="AP141" s="85"/>
    </row>
    <row r="142" ht="90.0" customHeight="1">
      <c r="A142" s="29"/>
      <c r="B142" s="102" t="s">
        <v>118</v>
      </c>
      <c r="C142" s="103" t="s">
        <v>513</v>
      </c>
      <c r="D142" s="104" t="s">
        <v>514</v>
      </c>
      <c r="E142" s="104" t="s">
        <v>174</v>
      </c>
      <c r="F142" s="104" t="s">
        <v>414</v>
      </c>
      <c r="G142" s="103" t="s">
        <v>192</v>
      </c>
      <c r="H142" s="105" t="s">
        <v>19</v>
      </c>
      <c r="I142" s="106" t="s">
        <v>515</v>
      </c>
      <c r="J142" s="42" t="str">
        <f>IFERROR(__xludf.DUMMYFUNCTION("GOOGLETRANSLATE(I142,""en"",""pl"")"),"Kamera kopułkowa wewnętrzna sieciowa serii Q, 5 MP @30 kl./s, obiektyw stałoogniskowy 4,0 mm (80,14°), potrójny kodek H.265/H.264/MJPEG z WiseStream II, strumieniowanie wielokrotne, WDR 120 dB, automatyczny tryb dzień/noc (ICR), analityka biznesowa (licze"&amp;"nie osób), wykrywanie ruchu, wykrywanie manipulacji, wykrywanie braku ostrości, widok korytarza, gniazdo microSD/SDHC/SDXC, wyjście HDMI do monitora publicznego, obsługa LDC (korekcja zniekształceń obiektywu), IP42, IK08, PoE, kompaktowy rozmiar 99 x 56 m"&amp;"m/165 g")</f>
        <v>Kamera kopułkowa wewnętrzna sieciowa serii Q, 5 MP @30 kl./s, obiektyw stałoogniskowy 4,0 mm (80,14°), potrójny kodek H.265/H.264/MJPEG z WiseStream II, strumieniowanie wielokrotne, WDR 120 dB, automatyczny tryb dzień/noc (ICR), analityka biznesowa (liczenie osób), wykrywanie ruchu, wykrywanie manipulacji, wykrywanie braku ostrości, widok korytarza, gniazdo microSD/SDHC/SDXC, wyjście HDMI do monitora publicznego, obsługa LDC (korekcja zniekształceń obiektywu), IP42, IK08, PoE, kompaktowy rozmiar 99 x 56 mm/165 g</v>
      </c>
      <c r="K142" s="100" t="s">
        <v>21</v>
      </c>
      <c r="L142" s="44">
        <v>341.0</v>
      </c>
      <c r="M142" s="8"/>
      <c r="N142" s="45" t="s">
        <v>22</v>
      </c>
      <c r="O142" s="97"/>
      <c r="P142" s="36"/>
      <c r="Q142" s="35"/>
      <c r="R142" s="68"/>
      <c r="S142" s="68"/>
      <c r="T142" s="68"/>
      <c r="U142" s="35"/>
      <c r="V142" s="35"/>
      <c r="W142" s="35"/>
      <c r="X142" s="35"/>
      <c r="Y142" s="35"/>
      <c r="Z142" s="35"/>
      <c r="AA142" s="35"/>
      <c r="AB142" s="35"/>
      <c r="AC142" s="60"/>
      <c r="AD142" s="85"/>
      <c r="AE142" s="85"/>
      <c r="AF142" s="85"/>
      <c r="AG142" s="85"/>
      <c r="AH142" s="85"/>
      <c r="AI142" s="85"/>
      <c r="AJ142" s="85"/>
      <c r="AK142" s="85"/>
      <c r="AL142" s="85"/>
      <c r="AM142" s="85"/>
      <c r="AN142" s="85"/>
      <c r="AO142" s="85"/>
      <c r="AP142" s="85"/>
    </row>
    <row r="143" ht="90.0" customHeight="1">
      <c r="A143" s="29"/>
      <c r="B143" s="38" t="s">
        <v>118</v>
      </c>
      <c r="C143" s="39" t="s">
        <v>516</v>
      </c>
      <c r="D143" s="40" t="s">
        <v>514</v>
      </c>
      <c r="E143" s="40" t="s">
        <v>174</v>
      </c>
      <c r="F143" s="40" t="s">
        <v>414</v>
      </c>
      <c r="G143" s="39" t="s">
        <v>192</v>
      </c>
      <c r="H143" s="41" t="s">
        <v>19</v>
      </c>
      <c r="I143" s="48" t="s">
        <v>517</v>
      </c>
      <c r="J143" s="42" t="str">
        <f>IFERROR(__xludf.DUMMYFUNCTION("GOOGLETRANSLATE(I143,""en"",""pl"")"),"Kamera kopułkowa wewnętrzna sieciowa serii Q, 5 MP @30 kl./s, obiektyw stałoogniskowy 2,8 mm (104,4°), potrójny kodek H.265/H.264/MJPEG z WiseStream II, strumieniowanie wielokrotne, WDR 120 dB, automatyczny tryb dzień/noc (ICR), analityka biznesowa (licze"&amp;"nie osób), wykrywanie ruchu, wykrywanie manipulacji, wykrywanie braku ostrości, widok korytarza, gniazdo microSD/SDHC/SDXC, wyjście HDMI do monitora publicznego, obsługa LDC (korekcja zniekształceń obiektywu), IP42, IK08, PoE, kompaktowy rozmiar 99 x 56 m"&amp;"m/165 g")</f>
        <v>Kamera kopułkowa wewnętrzna sieciowa serii Q, 5 MP @30 kl./s, obiektyw stałoogniskowy 2,8 mm (104,4°), potrójny kodek H.265/H.264/MJPEG z WiseStream II, strumieniowanie wielokrotne, WDR 120 dB, automatyczny tryb dzień/noc (ICR), analityka biznesowa (liczenie osób), wykrywanie ruchu, wykrywanie manipulacji, wykrywanie braku ostrości, widok korytarza, gniazdo microSD/SDHC/SDXC, wyjście HDMI do monitora publicznego, obsługa LDC (korekcja zniekształceń obiektywu), IP42, IK08, PoE, kompaktowy rozmiar 99 x 56 mm/165 g</v>
      </c>
      <c r="K143" s="43" t="s">
        <v>21</v>
      </c>
      <c r="L143" s="44">
        <v>341.0</v>
      </c>
      <c r="M143" s="8"/>
      <c r="N143" s="45" t="s">
        <v>22</v>
      </c>
      <c r="O143" s="97"/>
      <c r="P143" s="36"/>
      <c r="Q143" s="35"/>
      <c r="R143" s="68"/>
      <c r="S143" s="68"/>
      <c r="T143" s="68"/>
      <c r="U143" s="35"/>
      <c r="V143" s="35"/>
      <c r="W143" s="35"/>
      <c r="X143" s="35"/>
      <c r="Y143" s="35"/>
      <c r="Z143" s="35"/>
      <c r="AA143" s="35"/>
      <c r="AB143" s="35"/>
      <c r="AC143" s="60"/>
      <c r="AD143" s="85"/>
      <c r="AE143" s="85"/>
      <c r="AF143" s="85"/>
      <c r="AG143" s="85"/>
      <c r="AH143" s="85"/>
      <c r="AI143" s="85"/>
      <c r="AJ143" s="85"/>
      <c r="AK143" s="85"/>
      <c r="AL143" s="85"/>
      <c r="AM143" s="85"/>
      <c r="AN143" s="85"/>
      <c r="AO143" s="85"/>
      <c r="AP143" s="85"/>
    </row>
    <row r="144" ht="90.0" customHeight="1">
      <c r="A144" s="29"/>
      <c r="B144" s="38" t="s">
        <v>118</v>
      </c>
      <c r="C144" s="39" t="s">
        <v>518</v>
      </c>
      <c r="D144" s="40" t="s">
        <v>495</v>
      </c>
      <c r="E144" s="40" t="s">
        <v>174</v>
      </c>
      <c r="F144" s="40" t="s">
        <v>414</v>
      </c>
      <c r="G144" s="39" t="s">
        <v>184</v>
      </c>
      <c r="H144" s="41" t="s">
        <v>19</v>
      </c>
      <c r="I144" s="48" t="s">
        <v>519</v>
      </c>
      <c r="J144" s="42" t="str">
        <f>IFERROR(__xludf.DUMMYFUNCTION("GOOGLETRANSLATE(I144,""en"",""pl"")"),"Seria Q sieciowa kamera kopułkowa IR zewnętrzna z zabezpieczeniem przed wandalizmem, 5 MP @30 kl./s, obiektyw zmiennoogniskowy z napędem silnikowym 3,2 ~ 10,0 mm (3,1x) (100,3°~31,2°), potrójny kodek H.265/H.264/MJPEG z WiseStream II, strumieniowanie wiel"&amp;"okrotne, WDR 120 dB, automatyczny tryb dzień/noc (ICR), widoczność podczerwieni 30 m, zaawansowana analiza wideo, widok korytarza, detekcja ruchu, LDC (korekcja zniekształceń obiektywu), gniazdo SD/SDHC/SDXC, CVBS ułatwiający instalację, IP66, IK10, PoE")</f>
        <v>Seria Q sieciowa kamera kopułkowa IR zewnętrzna z zabezpieczeniem przed wandalizmem, 5 MP @30 kl./s, obiektyw zmiennoogniskowy z napędem silnikowym 3,2 ~ 10,0 mm (3,1x) (100,3°~31,2°), potrójny kodek H.265/H.264/MJPEG z WiseStream II, strumieniowanie wielokrotne, WDR 120 dB, automatyczny tryb dzień/noc (ICR), widoczność podczerwieni 30 m, zaawansowana analiza wideo, widok korytarza, detekcja ruchu, LDC (korekcja zniekształceń obiektywu), gniazdo SD/SDHC/SDXC, CVBS ułatwiający instalację, IP66, IK10, PoE</v>
      </c>
      <c r="K144" s="43" t="s">
        <v>21</v>
      </c>
      <c r="L144" s="44">
        <v>646.0</v>
      </c>
      <c r="M144" s="8"/>
      <c r="N144" s="45" t="s">
        <v>22</v>
      </c>
      <c r="O144" s="97"/>
      <c r="P144" s="35"/>
      <c r="Q144" s="35"/>
      <c r="R144" s="68"/>
      <c r="S144" s="68"/>
      <c r="T144" s="68"/>
      <c r="U144" s="35"/>
      <c r="V144" s="35"/>
      <c r="W144" s="35"/>
      <c r="X144" s="35"/>
      <c r="Y144" s="35"/>
      <c r="Z144" s="35"/>
      <c r="AA144" s="35"/>
      <c r="AB144" s="35"/>
      <c r="AC144" s="101"/>
      <c r="AD144" s="98"/>
      <c r="AE144" s="98"/>
      <c r="AF144" s="98"/>
      <c r="AG144" s="98"/>
      <c r="AH144" s="98"/>
      <c r="AI144" s="98"/>
      <c r="AJ144" s="98"/>
      <c r="AK144" s="98"/>
      <c r="AL144" s="98"/>
      <c r="AM144" s="98"/>
      <c r="AN144" s="98"/>
      <c r="AO144" s="98"/>
      <c r="AP144" s="98"/>
    </row>
    <row r="145" ht="90.0" customHeight="1">
      <c r="A145" s="29"/>
      <c r="B145" s="38" t="s">
        <v>118</v>
      </c>
      <c r="C145" s="39" t="s">
        <v>520</v>
      </c>
      <c r="D145" s="40" t="s">
        <v>495</v>
      </c>
      <c r="E145" s="40" t="s">
        <v>174</v>
      </c>
      <c r="F145" s="40" t="s">
        <v>414</v>
      </c>
      <c r="G145" s="39" t="s">
        <v>184</v>
      </c>
      <c r="H145" s="41" t="s">
        <v>19</v>
      </c>
      <c r="I145" s="48" t="s">
        <v>521</v>
      </c>
      <c r="J145" s="42" t="str">
        <f>IFERROR(__xludf.DUMMYFUNCTION("GOOGLETRANSLATE(I145,""en"",""pl"")"),"Kamera kopułkowa zewnętrzna z serii Q z IR, chroniąca przed wandalizmem, 5 MP @30 kl./s, obiektyw stałoogniskowy 4,0 mm (79,8°), potrójny kodek H.265/H.264/MJPEG z WiseStream II, strumieniowanie wielokrotne, WDR 120 dB, automatyczny tryb dzień/noc (ICR), "&amp;"widoczność podczerwieni 25 m, zaawansowana analiza wideo, widok korytarza, detekcja ruchu, LDC (korekcja zniekształceń obiektywu), gniazdo SD/SDHC/SDXC, CVBS ułatwiający instalację, IP66, IK10, PoE")</f>
        <v>Kamera kopułkowa zewnętrzna z serii Q z IR, chroniąca przed wandalizmem, 5 MP @30 kl./s, obiektyw stałoogniskowy 4,0 mm (79,8°), potrójny kodek H.265/H.264/MJPEG z WiseStream II, strumieniowanie wielokrotne, WDR 120 dB, automatyczny tryb dzień/noc (ICR), widoczność podczerwieni 25 m, zaawansowana analiza wideo, widok korytarza, detekcja ruchu, LDC (korekcja zniekształceń obiektywu), gniazdo SD/SDHC/SDXC, CVBS ułatwiający instalację, IP66, IK10, PoE</v>
      </c>
      <c r="K145" s="43" t="s">
        <v>21</v>
      </c>
      <c r="L145" s="44">
        <v>412.0</v>
      </c>
      <c r="M145" s="8"/>
      <c r="N145" s="45" t="s">
        <v>22</v>
      </c>
      <c r="O145" s="97"/>
      <c r="P145" s="36"/>
      <c r="Q145" s="35"/>
      <c r="R145" s="68"/>
      <c r="S145" s="68"/>
      <c r="T145" s="68"/>
      <c r="U145" s="35"/>
      <c r="V145" s="35"/>
      <c r="W145" s="35"/>
      <c r="X145" s="35"/>
      <c r="Y145" s="35"/>
      <c r="Z145" s="35"/>
      <c r="AA145" s="35"/>
      <c r="AB145" s="35"/>
      <c r="AC145" s="60"/>
      <c r="AD145" s="85"/>
      <c r="AE145" s="85"/>
      <c r="AF145" s="85"/>
      <c r="AG145" s="85"/>
      <c r="AH145" s="85"/>
      <c r="AI145" s="85"/>
      <c r="AJ145" s="85"/>
      <c r="AK145" s="85"/>
      <c r="AL145" s="85"/>
      <c r="AM145" s="85"/>
      <c r="AN145" s="85"/>
      <c r="AO145" s="85"/>
      <c r="AP145" s="85"/>
    </row>
    <row r="146" ht="90.0" customHeight="1">
      <c r="A146" s="29"/>
      <c r="B146" s="38" t="s">
        <v>118</v>
      </c>
      <c r="C146" s="39" t="s">
        <v>522</v>
      </c>
      <c r="D146" s="40" t="s">
        <v>495</v>
      </c>
      <c r="E146" s="40" t="s">
        <v>174</v>
      </c>
      <c r="F146" s="40" t="s">
        <v>414</v>
      </c>
      <c r="G146" s="39" t="s">
        <v>184</v>
      </c>
      <c r="H146" s="41" t="s">
        <v>19</v>
      </c>
      <c r="I146" s="48" t="s">
        <v>523</v>
      </c>
      <c r="J146" s="42" t="str">
        <f>IFERROR(__xludf.DUMMYFUNCTION("GOOGLETRANSLATE(I146,""en"",""pl"")"),"Kamera kopułkowa zewnętrzna z serii Q z IR, chroniąca przed wandalizmem, 5 MP @30 kl./s, obiektyw stałoogniskowy 2,8 mm (104,7°), potrójny kodek H.265/H.264/MJPEG z WiseStream II, strumieniowanie wielokrotne, WDR 120 dB, automatyczny tryb dzień/noc (ICR),"&amp;" widoczność podczerwieni 20 m, zaawansowana analiza wideo, widok korytarza, detekcja ruchu, LDC (korekcja zniekształceń obiektywu), gniazdo SD/SDHC/SDXC, CVBS ułatwiający instalację, IP66, IK10, PoE")</f>
        <v>Kamera kopułkowa zewnętrzna z serii Q z IR, chroniąca przed wandalizmem, 5 MP @30 kl./s, obiektyw stałoogniskowy 2,8 mm (104,7°), potrójny kodek H.265/H.264/MJPEG z WiseStream II, strumieniowanie wielokrotne, WDR 120 dB, automatyczny tryb dzień/noc (ICR), widoczność podczerwieni 20 m, zaawansowana analiza wideo, widok korytarza, detekcja ruchu, LDC (korekcja zniekształceń obiektywu), gniazdo SD/SDHC/SDXC, CVBS ułatwiający instalację, IP66, IK10, PoE</v>
      </c>
      <c r="K146" s="43" t="s">
        <v>21</v>
      </c>
      <c r="L146" s="44">
        <v>412.0</v>
      </c>
      <c r="M146" s="8"/>
      <c r="N146" s="45" t="s">
        <v>22</v>
      </c>
      <c r="O146" s="97"/>
      <c r="P146" s="36"/>
      <c r="Q146" s="35"/>
      <c r="R146" s="68"/>
      <c r="S146" s="68"/>
      <c r="T146" s="68"/>
      <c r="U146" s="35"/>
      <c r="V146" s="35"/>
      <c r="W146" s="35"/>
      <c r="X146" s="35"/>
      <c r="Y146" s="35"/>
      <c r="Z146" s="35"/>
      <c r="AA146" s="35"/>
      <c r="AB146" s="35"/>
      <c r="AC146" s="85"/>
      <c r="AD146" s="85"/>
      <c r="AE146" s="85"/>
      <c r="AF146" s="85"/>
      <c r="AG146" s="85"/>
      <c r="AH146" s="85"/>
      <c r="AI146" s="85"/>
      <c r="AJ146" s="85"/>
      <c r="AK146" s="85"/>
      <c r="AL146" s="85"/>
      <c r="AM146" s="85"/>
      <c r="AN146" s="85"/>
      <c r="AO146" s="85"/>
      <c r="AP146" s="85"/>
    </row>
    <row r="147" ht="90.0" customHeight="1">
      <c r="A147" s="29"/>
      <c r="B147" s="38" t="s">
        <v>118</v>
      </c>
      <c r="C147" s="39" t="s">
        <v>524</v>
      </c>
      <c r="D147" s="40" t="s">
        <v>525</v>
      </c>
      <c r="E147" s="40" t="s">
        <v>174</v>
      </c>
      <c r="F147" s="40" t="s">
        <v>414</v>
      </c>
      <c r="G147" s="39" t="s">
        <v>255</v>
      </c>
      <c r="H147" s="41" t="s">
        <v>19</v>
      </c>
      <c r="I147" s="48" t="s">
        <v>526</v>
      </c>
      <c r="J147" s="42" t="str">
        <f>IFERROR(__xludf.DUMMYFUNCTION("GOOGLETRANSLATE(I147,""en"",""pl"")"),"Kamera zewnętrzna z płaskim okiem i siecią IR serii Q, 5 MP @30fps, obiektyw stałoogniskowy 2,8 mm (104,4°), potrójny kodek H.265/H.264/MJPEG z WiseStream II, strumieniowanie wielokrotne, WDR 120 dB, automatyczny tryb dzień/noc (ICR), widoczność podczerwi"&amp;"eni 20 m, zaawansowana analiza wideo, wykrywanie ruchu, manipulacja, wykrywanie braku ostrości, widok korytarzowy, gniazdo microSD/SDHC/SDXC, obsługa LDC (korekcja zniekształceń obiektywu), IP67, IK10, PoE")</f>
        <v>Kamera zewnętrzna z płaskim okiem i siecią IR serii Q, 5 MP @30fps, obiektyw stałoogniskowy 2,8 mm (104,4°), potrójny kodek H.265/H.264/MJPEG z WiseStream II, strumieniowanie wielokrotne, WDR 120 dB, automatyczny tryb dzień/noc (ICR), widoczność podczerwieni 20 m, zaawansowana analiza wideo, wykrywanie ruchu, manipulacja, wykrywanie braku ostrości, widok korytarzowy, gniazdo microSD/SDHC/SDXC, obsługa LDC (korekcja zniekształceń obiektywu), IP67, IK10, PoE</v>
      </c>
      <c r="K147" s="43" t="s">
        <v>21</v>
      </c>
      <c r="L147" s="44">
        <v>433.0</v>
      </c>
      <c r="M147" s="8"/>
      <c r="N147" s="45" t="s">
        <v>22</v>
      </c>
      <c r="O147" s="97"/>
      <c r="P147" s="36"/>
      <c r="Q147" s="35"/>
      <c r="R147" s="68"/>
      <c r="S147" s="68"/>
      <c r="T147" s="68"/>
      <c r="U147" s="35"/>
      <c r="V147" s="35"/>
      <c r="W147" s="35"/>
      <c r="X147" s="35"/>
      <c r="Y147" s="35"/>
      <c r="Z147" s="35"/>
      <c r="AA147" s="35"/>
      <c r="AB147" s="35"/>
      <c r="AC147" s="60"/>
      <c r="AD147" s="85"/>
      <c r="AE147" s="85"/>
      <c r="AF147" s="85"/>
      <c r="AG147" s="85"/>
      <c r="AH147" s="85"/>
      <c r="AI147" s="85"/>
      <c r="AJ147" s="85"/>
      <c r="AK147" s="85"/>
      <c r="AL147" s="85"/>
      <c r="AM147" s="85"/>
      <c r="AN147" s="85"/>
      <c r="AO147" s="85"/>
      <c r="AP147" s="85"/>
    </row>
    <row r="148" ht="90.0" customHeight="1">
      <c r="A148" s="29"/>
      <c r="B148" s="38" t="s">
        <v>118</v>
      </c>
      <c r="C148" s="39" t="s">
        <v>527</v>
      </c>
      <c r="D148" s="40" t="s">
        <v>528</v>
      </c>
      <c r="E148" s="40" t="s">
        <v>16</v>
      </c>
      <c r="F148" s="40" t="s">
        <v>414</v>
      </c>
      <c r="G148" s="39" t="s">
        <v>529</v>
      </c>
      <c r="H148" s="41" t="s">
        <v>19</v>
      </c>
      <c r="I148" s="48" t="s">
        <v>530</v>
      </c>
      <c r="J148" s="42" t="str">
        <f>IFERROR(__xludf.DUMMYFUNCTION("GOOGLETRANSLATE(I148,""en"",""pl"")"),"Kamera sieciowa zewnętrzna z serii T, do montażu narożnego, antyligaturowa, 5 MP przy 30 kl./s, obiektyw stałoogniskowy 2,3 mm, potrójny kodek H.265/H.264/MJPEG z technologią WiseStream II, strumieniowanie wielokrotne, WDR 120 dB, automatyczny tryb dzień/"&amp;"noc (ICR), zaawansowana analiza wideo, widok z korytarza, detekcja ruchu, korekcja zniekształceń obiektywu, cyfrowa stabilizacja obrazu, wejście/wyjście audio, 1 wejście/1 wyjście, gniazdo na kartę SD, PoE, IP66, IK10, IP6K9K")</f>
        <v>Kamera sieciowa zewnętrzna z serii T, do montażu narożnego, antyligaturowa, 5 MP przy 30 kl./s, obiektyw stałoogniskowy 2,3 mm, potrójny kodek H.265/H.264/MJPEG z technologią WiseStream II, strumieniowanie wielokrotne, WDR 120 dB, automatyczny tryb dzień/noc (ICR), zaawansowana analiza wideo, widok z korytarza, detekcja ruchu, korekcja zniekształceń obiektywu, cyfrowa stabilizacja obrazu, wejście/wyjście audio, 1 wejście/1 wyjście, gniazdo na kartę SD, PoE, IP66, IK10, IP6K9K</v>
      </c>
      <c r="K148" s="43" t="s">
        <v>21</v>
      </c>
      <c r="L148" s="44">
        <v>1000.0</v>
      </c>
      <c r="M148" s="8"/>
      <c r="N148" s="45" t="s">
        <v>22</v>
      </c>
      <c r="O148" s="97"/>
      <c r="P148" s="36"/>
      <c r="Q148" s="35"/>
      <c r="R148" s="68"/>
      <c r="S148" s="68"/>
      <c r="T148" s="68"/>
      <c r="U148" s="35"/>
      <c r="V148" s="35"/>
      <c r="W148" s="35"/>
      <c r="X148" s="35"/>
      <c r="Y148" s="35"/>
      <c r="Z148" s="35"/>
      <c r="AA148" s="35"/>
      <c r="AB148" s="35"/>
      <c r="AC148" s="60"/>
      <c r="AD148" s="85"/>
      <c r="AE148" s="85"/>
      <c r="AF148" s="85"/>
      <c r="AG148" s="85"/>
      <c r="AH148" s="85"/>
      <c r="AI148" s="85"/>
      <c r="AJ148" s="85"/>
      <c r="AK148" s="85"/>
      <c r="AL148" s="85"/>
      <c r="AM148" s="85"/>
      <c r="AN148" s="85"/>
      <c r="AO148" s="85"/>
      <c r="AP148" s="85"/>
    </row>
    <row r="149" ht="120.0" customHeight="1">
      <c r="A149" s="29"/>
      <c r="B149" s="38" t="s">
        <v>118</v>
      </c>
      <c r="C149" s="39" t="s">
        <v>531</v>
      </c>
      <c r="D149" s="40" t="s">
        <v>495</v>
      </c>
      <c r="E149" s="40" t="s">
        <v>168</v>
      </c>
      <c r="F149" s="40" t="s">
        <v>414</v>
      </c>
      <c r="G149" s="39" t="s">
        <v>184</v>
      </c>
      <c r="H149" s="41" t="s">
        <v>19</v>
      </c>
      <c r="I149" s="48" t="s">
        <v>532</v>
      </c>
      <c r="J149" s="42" t="str">
        <f>IFERROR(__xludf.DUMMYFUNCTION("GOOGLETRANSLATE(I149,""en"",""pl"")"),"Seria X zasilana przez zewnętrzną kamerę kopułkową Wisenet 5 z podczerwienią, modułowa konstrukcja X PLUS, wejście PoE+ / wyjście PoE, 5 MP @30 kl./s, obiektyw zmiennoogniskowy 3,9 ~ 9,4 mm z napędem silnikowym (2,4x) (92,1°~38,7°), potrójny kodek H.265/H"&amp;".264/MJPEG z WiseStream II, strumieniowanie wielokrotne, WDR 120 dB, True Day &amp; Night (ICR), diody LED IR o dużej mocy z widoczną długością podczerwieni 50 m, zaawansowana analiza wideo i klasyfikacja dźwięku oraz analiza biznesowa, wykrywanie wstrząsów, "&amp;"odtwarzanie dźwięku, widok korytarza, wykrywanie ruchu, wykrywanie mgły, HLC, cyfrowa stabilizacja obrazu z wbudowanym czujnikiem żyroskopowym, dwukierunkowy dźwięk i podwójne gniazdo micro SD/SDHC/SDXC, ONVIF S/G/T, port USB ułatwiający instalację, IP67/"&amp;"IP66/IP6K9K, IK10+, Nema 4X, PoE+")</f>
        <v>Seria X zasilana przez zewnętrzną kamerę kopułkową Wisenet 5 z podczerwienią, modułowa konstrukcja X PLUS, wejście PoE+ / wyjście PoE, 5 MP @30 kl./s, obiektyw zmiennoogniskowy 3,9 ~ 9,4 mm z napędem silnikowym (2,4x) (92,1°~38,7°), potrójny kodek H.265/H.264/MJPEG z WiseStream II, strumieniowanie wielokrotne, WDR 120 dB, True Day &amp; Night (ICR), diody LED IR o dużej mocy z widoczną długością podczerwieni 50 m, zaawansowana analiza wideo i klasyfikacja dźwięku oraz analiza biznesowa, wykrywanie wstrząsów, odtwarzanie dźwięku, widok korytarza, wykrywanie ruchu, wykrywanie mgły, HLC, cyfrowa stabilizacja obrazu z wbudowanym czujnikiem żyroskopowym, dwukierunkowy dźwięk i podwójne gniazdo micro SD/SDHC/SDXC, ONVIF S/G/T, port USB ułatwiający instalację, IP67/IP66/IP6K9K, IK10+, Nema 4X, PoE+</v>
      </c>
      <c r="K149" s="43" t="s">
        <v>21</v>
      </c>
      <c r="L149" s="44">
        <v>1474.0</v>
      </c>
      <c r="M149" s="8"/>
      <c r="N149" s="45" t="s">
        <v>22</v>
      </c>
      <c r="O149" s="97"/>
      <c r="P149" s="36"/>
      <c r="Q149" s="35"/>
      <c r="R149" s="68"/>
      <c r="S149" s="68"/>
      <c r="T149" s="68"/>
      <c r="U149" s="35"/>
      <c r="V149" s="35"/>
      <c r="W149" s="35"/>
      <c r="X149" s="35"/>
      <c r="Y149" s="35"/>
      <c r="Z149" s="35"/>
      <c r="AA149" s="35"/>
      <c r="AB149" s="35"/>
      <c r="AC149" s="60"/>
      <c r="AD149" s="85"/>
      <c r="AE149" s="85"/>
      <c r="AF149" s="85"/>
      <c r="AG149" s="85"/>
      <c r="AH149" s="85"/>
      <c r="AI149" s="85"/>
      <c r="AJ149" s="85"/>
      <c r="AK149" s="85"/>
      <c r="AL149" s="85"/>
      <c r="AM149" s="85"/>
      <c r="AN149" s="85"/>
      <c r="AO149" s="85"/>
      <c r="AP149" s="85"/>
    </row>
    <row r="150" ht="120.0" customHeight="1">
      <c r="A150" s="29"/>
      <c r="B150" s="38" t="s">
        <v>118</v>
      </c>
      <c r="C150" s="39" t="s">
        <v>533</v>
      </c>
      <c r="D150" s="40" t="s">
        <v>473</v>
      </c>
      <c r="E150" s="40" t="s">
        <v>168</v>
      </c>
      <c r="F150" s="40" t="s">
        <v>414</v>
      </c>
      <c r="G150" s="39" t="s">
        <v>192</v>
      </c>
      <c r="H150" s="41" t="s">
        <v>19</v>
      </c>
      <c r="I150" s="48" t="s">
        <v>534</v>
      </c>
      <c r="J150" s="42" t="str">
        <f>IFERROR(__xludf.DUMMYFUNCTION("GOOGLETRANSLATE(I150,""en"",""pl"")"),"Seria X zasilana przez kamerę kopułkową IR do zastosowań wewnętrznych, zabezpieczoną przed wandalizmem, modułowa konstrukcja X PLUS, wejście PoE+ / wyjście PoE, 5 MP @30 kl./s, obiektyw zmiennoogniskowy 3,9 ~ 9,4 mm z napędem silnikowym (2,4x) (92,1°~38,7"&amp;"°), potrójny kodek H.265/H.264/MJPEG z WiseStream II, strumieniowanie wielokrotne, WDR 120 dB, True Day &amp; Night (ICR), diody LED IR o dużej mocy z widoczną długością podczerwieni 50 m, zaawansowana analiza wideo i klasyfikacja dźwięku oraz analiza bizneso"&amp;"wa, wykrywanie wstrząsów, odtwarzanie dźwięku, widok z korytarza, wykrywanie ruchu, wykrywanie mgły, HLC, cyfrowa stabilizacja obrazu z czujnikiem żyroskopowym, dwukierunkowy dźwięk i dwa gniazda microSD/SDHC/SDXC, ONVIF S/G/T, port USB ułatwiający instal"&amp;"ację, IP52, IK10, PoE+")</f>
        <v>Seria X zasilana przez kamerę kopułkową IR do zastosowań wewnętrznych, zabezpieczoną przed wandalizmem, modułowa konstrukcja X PLUS, wejście PoE+ / wyjście PoE, 5 MP @30 kl./s, obiektyw zmiennoogniskowy 3,9 ~ 9,4 mm z napędem silnikowym (2,4x) (92,1°~38,7°), potrójny kodek H.265/H.264/MJPEG z WiseStream II, strumieniowanie wielokrotne, WDR 120 dB, True Day &amp; Night (ICR), diody LED IR o dużej mocy z widoczną długością podczerwieni 50 m, zaawansowana analiza wideo i klasyfikacja dźwięku oraz analiza biznesowa, wykrywanie wstrząsów, odtwarzanie dźwięku, widok z korytarza, wykrywanie ruchu, wykrywanie mgły, HLC, cyfrowa stabilizacja obrazu z czujnikiem żyroskopowym, dwukierunkowy dźwięk i dwa gniazda microSD/SDHC/SDXC, ONVIF S/G/T, port USB ułatwiający instalację, IP52, IK10, PoE+</v>
      </c>
      <c r="K150" s="43" t="s">
        <v>21</v>
      </c>
      <c r="L150" s="44">
        <v>1325.0</v>
      </c>
      <c r="M150" s="8"/>
      <c r="N150" s="45" t="s">
        <v>22</v>
      </c>
      <c r="O150" s="97"/>
      <c r="P150" s="36"/>
      <c r="Q150" s="35"/>
      <c r="R150" s="68"/>
      <c r="S150" s="68"/>
      <c r="T150" s="68"/>
      <c r="U150" s="35"/>
      <c r="V150" s="35"/>
      <c r="W150" s="35"/>
      <c r="X150" s="35"/>
      <c r="Y150" s="35"/>
      <c r="Z150" s="35"/>
      <c r="AA150" s="35"/>
      <c r="AB150" s="35"/>
      <c r="AC150" s="60"/>
      <c r="AD150" s="85"/>
      <c r="AE150" s="85"/>
      <c r="AF150" s="85"/>
      <c r="AG150" s="85"/>
      <c r="AH150" s="85"/>
      <c r="AI150" s="85"/>
      <c r="AJ150" s="85"/>
      <c r="AK150" s="85"/>
      <c r="AL150" s="85"/>
      <c r="AM150" s="85"/>
      <c r="AN150" s="85"/>
      <c r="AO150" s="85"/>
      <c r="AP150" s="85"/>
    </row>
    <row r="151" ht="30.0" customHeight="1">
      <c r="A151" s="29"/>
      <c r="B151" s="93" t="s">
        <v>535</v>
      </c>
      <c r="C151" s="113"/>
      <c r="D151" s="113"/>
      <c r="E151" s="113"/>
      <c r="F151" s="113"/>
      <c r="G151" s="113"/>
      <c r="H151" s="113"/>
      <c r="I151" s="113"/>
      <c r="J151" s="42" t="str">
        <f>IFERROR(__xludf.DUMMYFUNCTION("GOOGLETRANSLATE(I151,""en"",""pl"")"),"#VALUE!")</f>
        <v>#VALUE!</v>
      </c>
      <c r="K151" s="94"/>
      <c r="L151" s="114"/>
      <c r="M151" s="115"/>
      <c r="N151" s="96"/>
      <c r="O151" s="83"/>
      <c r="P151" s="36"/>
      <c r="Q151" s="35"/>
      <c r="R151" s="68"/>
      <c r="S151" s="68"/>
      <c r="T151" s="68"/>
      <c r="U151" s="35"/>
      <c r="V151" s="35"/>
      <c r="W151" s="35"/>
      <c r="X151" s="35"/>
      <c r="Y151" s="35"/>
      <c r="Z151" s="35"/>
      <c r="AA151" s="35"/>
      <c r="AB151" s="35"/>
      <c r="AC151" s="60"/>
      <c r="AD151" s="85"/>
      <c r="AE151" s="85"/>
      <c r="AF151" s="85"/>
      <c r="AG151" s="85"/>
      <c r="AH151" s="85"/>
      <c r="AI151" s="85"/>
      <c r="AJ151" s="85"/>
      <c r="AK151" s="85"/>
      <c r="AL151" s="85"/>
      <c r="AM151" s="85"/>
      <c r="AN151" s="85"/>
      <c r="AO151" s="85"/>
      <c r="AP151" s="85"/>
    </row>
    <row r="152" ht="46.5" customHeight="1">
      <c r="A152" s="29"/>
      <c r="B152" s="38" t="s">
        <v>118</v>
      </c>
      <c r="C152" s="39" t="s">
        <v>536</v>
      </c>
      <c r="D152" s="40" t="s">
        <v>537</v>
      </c>
      <c r="E152" s="40" t="s">
        <v>168</v>
      </c>
      <c r="F152" s="40" t="s">
        <v>538</v>
      </c>
      <c r="G152" s="39" t="s">
        <v>18</v>
      </c>
      <c r="H152" s="41" t="s">
        <v>19</v>
      </c>
      <c r="I152" s="42" t="s">
        <v>539</v>
      </c>
      <c r="J152" s="42" t="str">
        <f>IFERROR(__xludf.DUMMYFUNCTION("GOOGLETRANSLATE(I152,""en"",""pl"")"),"Seria X zasilana przez zewnętrzną kamerę wandaloodporną Wisenet 7 AI, 4MP @60fps, obiektyw zmiennoogniskowy z napędem silnikowym 2,8~10 mm (3,6x), potrójny kodek H.265/H.264/MJPEG z WiseStream III, strumieniowanie wielokrotne, ekstremalny WDR (120 dB), au"&amp;"tomatyczny tryb dzień/noc (ICR), widoczna długość podczerwieni 40 m, cyberbezpieczeństwo następnego poziomu, zdarzenia analityczne oparte na silniku AI (NPU): wykrywanie obiektów (osoba/twarz/pojazd — samochód, ciężarówka, autobus, rower, motocykl/tablica"&amp;" rejestracyjna), IVA (wirtualna linia/obszar, wejście/wyjście, włóczęgostwo, kierunek, wtargnięcie), zdarzenia analityczne: wykrywanie braku ostrości, wykrywanie ruchu, manipulacja, wykrywanie mgły, wykrywanie dźwięku, klasyfikacja dźwięku, wykrywanie wst"&amp;"rząsów, pojawianie się/znikanie, cyfrowa stabilizacja obrazu z wbudowanym czujnikiem żyroskopowym, dwukierunkowy dźwięk i gniazdo microSD/SDHC/SDXC, IP66/IP67, IK10, NEMA4X, PoE+/12 V DC")</f>
        <v>Seria X zasilana przez zewnętrzną kamerę wandaloodporną Wisenet 7 AI, 4MP @60fps, obiektyw zmiennoogniskowy z napędem silnikowym 2,8~10 mm (3,6x), potrójny kodek H.265/H.264/MJPEG z WiseStream III, strumieniowanie wielokrotne, ekstremalny WDR (120 dB), automatyczny tryb dzień/noc (ICR), widoczna długość podczerwieni 40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gniazdo microSD/SDHC/SDXC, IP66/IP67, IK10, NEMA4X, PoE+/12 V DC</v>
      </c>
      <c r="K152" s="43" t="s">
        <v>189</v>
      </c>
      <c r="L152" s="44">
        <v>1350.0</v>
      </c>
      <c r="M152" s="8"/>
      <c r="N152" s="45" t="s">
        <v>22</v>
      </c>
      <c r="O152" s="97"/>
      <c r="P152" s="36"/>
      <c r="Q152" s="35"/>
      <c r="R152" s="68"/>
      <c r="S152" s="68"/>
      <c r="T152" s="68"/>
      <c r="U152" s="35"/>
      <c r="V152" s="35"/>
      <c r="W152" s="35"/>
      <c r="X152" s="35"/>
      <c r="Y152" s="35"/>
      <c r="Z152" s="35"/>
      <c r="AA152" s="35"/>
      <c r="AB152" s="35"/>
      <c r="AC152" s="60"/>
      <c r="AD152" s="85"/>
      <c r="AE152" s="85"/>
      <c r="AF152" s="85"/>
      <c r="AG152" s="85"/>
      <c r="AH152" s="85"/>
      <c r="AI152" s="85"/>
      <c r="AJ152" s="85"/>
      <c r="AK152" s="85"/>
      <c r="AL152" s="85"/>
      <c r="AM152" s="85"/>
      <c r="AN152" s="85"/>
      <c r="AO152" s="85"/>
      <c r="AP152" s="85"/>
    </row>
    <row r="153" ht="129.75" customHeight="1">
      <c r="A153" s="29"/>
      <c r="B153" s="38" t="s">
        <v>118</v>
      </c>
      <c r="C153" s="39" t="s">
        <v>540</v>
      </c>
      <c r="D153" s="40" t="s">
        <v>541</v>
      </c>
      <c r="E153" s="40" t="s">
        <v>168</v>
      </c>
      <c r="F153" s="40" t="s">
        <v>538</v>
      </c>
      <c r="G153" s="39" t="s">
        <v>184</v>
      </c>
      <c r="H153" s="41" t="s">
        <v>19</v>
      </c>
      <c r="I153" s="42" t="s">
        <v>542</v>
      </c>
      <c r="J153" s="42" t="str">
        <f>IFERROR(__xludf.DUMMYFUNCTION("GOOGLETRANSLATE(I153,""en"",""pl"")"),"Seria X zasilana przez zewnętrzną kamerę kopułkową IR Wisenet 7 AI, 4MP @60fps, obiektyw zmiennoogniskowy z napędem silnikowym 2,8 ~ 10,0 mm (3,6x) (109,7°~30,4°), potrójny kodek H.265/H.264/MJPEG z WiseStream III, strumieniowanie wielokrotne, WDR 120 dB,"&amp;" True Day &amp; Night (ICR), diody LED IR o dużej mocy z widoczną długością podczerwieni 40 m, zdarzenia analityczne oparte na silniku AI (NPU): wykrywanie obiektów (osoba/twarz/pojazd – samochód, ciężarówka, autobus, rower, motocykl/tablica rejestracyjna), I"&amp;"VA (wirtualna linia/obszar, wejście/wyjście, wałęsanie się, kierunek, wtargnięcie), zdarzenia analityczne: wykrywanie braku ostrości, wykrywanie ruchu, manipulacja, wykrywanie mgły, HLC, cyfrowa stabilizacja obrazu z czujnikiem żyroskopowym, dwukierunkowy"&amp;" dźwięk i pojedynczy Gniazdo microSD/SDHC/SDXC, ONVIF S/G/T, port USB ułatwiający instalację, IP67/IP66, IK10, Nema 4X, PoE/12 V DC, w zestawie białe nakładki")</f>
        <v>Seria X zasilana przez zewnętrzną kamerę kopułkową IR Wisenet 7 AI, 4MP @60fps, obiektyw zmiennoogniskowy z napędem silnikowym 2,8 ~ 10,0 mm (3,6x) (109,7°~30,4°), potrójny kodek H.265/H.264/MJPEG z WiseStream III, strumieniowanie wielokrotne, WDR 120 dB, True Day &amp; Night (ICR), diody LED IR o dużej mocy z widoczną długością podczerwieni 40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IP67/IP66, IK10, Nema 4X, PoE/12 V DC, w zestawie białe nakładki</v>
      </c>
      <c r="K153" s="43" t="s">
        <v>189</v>
      </c>
      <c r="L153" s="44">
        <v>1350.0</v>
      </c>
      <c r="M153" s="8"/>
      <c r="N153" s="45" t="s">
        <v>22</v>
      </c>
      <c r="O153" s="97"/>
      <c r="P153" s="36"/>
      <c r="Q153" s="35"/>
      <c r="R153" s="68"/>
      <c r="S153" s="68"/>
      <c r="T153" s="68"/>
      <c r="U153" s="35"/>
      <c r="V153" s="35"/>
      <c r="W153" s="35"/>
      <c r="X153" s="35"/>
      <c r="Y153" s="35"/>
      <c r="Z153" s="35"/>
      <c r="AA153" s="35"/>
      <c r="AB153" s="35"/>
      <c r="AC153" s="60"/>
      <c r="AD153" s="85"/>
      <c r="AE153" s="85"/>
      <c r="AF153" s="85"/>
      <c r="AG153" s="85"/>
      <c r="AH153" s="85"/>
      <c r="AI153" s="85"/>
      <c r="AJ153" s="85"/>
      <c r="AK153" s="85"/>
      <c r="AL153" s="85"/>
      <c r="AM153" s="85"/>
      <c r="AN153" s="85"/>
      <c r="AO153" s="85"/>
      <c r="AP153" s="85"/>
    </row>
    <row r="154" ht="114.75" customHeight="1">
      <c r="A154" s="29"/>
      <c r="B154" s="38" t="s">
        <v>118</v>
      </c>
      <c r="C154" s="39" t="s">
        <v>543</v>
      </c>
      <c r="D154" s="40" t="s">
        <v>544</v>
      </c>
      <c r="E154" s="40" t="s">
        <v>168</v>
      </c>
      <c r="F154" s="40" t="s">
        <v>538</v>
      </c>
      <c r="G154" s="40" t="s">
        <v>192</v>
      </c>
      <c r="H154" s="41" t="s">
        <v>19</v>
      </c>
      <c r="I154" s="42" t="s">
        <v>545</v>
      </c>
      <c r="J154" s="42" t="str">
        <f>IFERROR(__xludf.DUMMYFUNCTION("GOOGLETRANSLATE(I154,""en"",""pl"")"),"Seria X zasilana przez kamerę kopułkową IR do użytku wewnątrz budynków, zabezpieczoną przed wandalizmem, 4 MP @60 kl./s, obiektyw zmiennoogniskowy 2,8 ~ 10,0 mm z napędem silnikowym (3,6x) (109,7°~30,4°), potrójny kodek H.265/H.264/MJPEG z WiseStream II, "&amp;"strumieniowanie wielokrotne, WDR 120 dB, True Day &amp; Night (ICR), diody LED IR o dużej mocy z widoczną długością podczerwieni 40 m, zdarzenia analityczne oparte na silniku AI (NPU): wykrywanie obiektów (osoby/twarz/pojazdy – samochód, ciężarówka, autobus, "&amp;"rower, motocykl/tablica rejestracyjna), IVA (wirtualna linia/obszar, wejście/wyjście, wałęsanie się, kierunek, wtargnięcie), zdarzenia analityczne: wykrywanie braku ostrości, wykrywanie ruchu, manipulacja, wykrywanie mgły, HLC, cyfrowa stabilizacja obrazu"&amp;" z czujnikiem żyroskopowym, dwukierunkowy dźwięk i pojedynczy slot microSD/SDHC/SDXC, ONVIF S/G/T, port USB ułatwiający instalację, IP52, IK10, PoE/12 V DC, w zestawie białe nakładki")</f>
        <v>Seria X zasilana przez kamerę kopułkową IR do użytku wewnątrz budynków, zabezpieczoną przed wandalizmem, 4 MP @60 kl./s, obiektyw zmiennoogniskowy 2,8 ~ 10,0 mm z napędem silnikowym (3,6x) (109,7°~30,4°), potrójny kodek H.265/H.264/MJPEG z WiseStream II, strumieniowanie wielokrotne, WDR 120 dB, True Day &amp; Night (ICR), diody LED IR o dużej mocy z widoczną długością podczerwieni 40 m, zdarzenia analityczne oparte na silniku AI (NPU): wykrywanie obiektów (osoby/twarz/pojazdy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slot microSD/SDHC/SDXC, ONVIF S/G/T, port USB ułatwiający instalację, IP52, IK10, PoE/12 V DC, w zestawie białe nakładki</v>
      </c>
      <c r="K154" s="43" t="s">
        <v>189</v>
      </c>
      <c r="L154" s="44">
        <v>1150.0</v>
      </c>
      <c r="M154" s="8"/>
      <c r="N154" s="45" t="s">
        <v>22</v>
      </c>
      <c r="O154" s="97"/>
      <c r="P154" s="36"/>
      <c r="Q154" s="35"/>
      <c r="R154" s="68"/>
      <c r="S154" s="68"/>
      <c r="T154" s="68"/>
      <c r="U154" s="35"/>
      <c r="V154" s="35"/>
      <c r="W154" s="35"/>
      <c r="X154" s="35"/>
      <c r="Y154" s="35"/>
      <c r="Z154" s="35"/>
      <c r="AA154" s="35"/>
      <c r="AB154" s="35"/>
      <c r="AC154" s="60"/>
      <c r="AD154" s="85"/>
      <c r="AE154" s="85"/>
      <c r="AF154" s="85"/>
      <c r="AG154" s="85"/>
      <c r="AH154" s="85"/>
      <c r="AI154" s="85"/>
      <c r="AJ154" s="85"/>
      <c r="AK154" s="85"/>
      <c r="AL154" s="85"/>
      <c r="AM154" s="85"/>
      <c r="AN154" s="85"/>
      <c r="AO154" s="85"/>
      <c r="AP154" s="85"/>
    </row>
    <row r="155" ht="46.5" customHeight="1">
      <c r="A155" s="29"/>
      <c r="B155" s="38" t="s">
        <v>118</v>
      </c>
      <c r="C155" s="39" t="s">
        <v>546</v>
      </c>
      <c r="D155" s="40" t="s">
        <v>547</v>
      </c>
      <c r="E155" s="40" t="s">
        <v>168</v>
      </c>
      <c r="F155" s="40" t="s">
        <v>538</v>
      </c>
      <c r="G155" s="39" t="s">
        <v>213</v>
      </c>
      <c r="H155" s="41" t="s">
        <v>19</v>
      </c>
      <c r="I155" s="42" t="s">
        <v>548</v>
      </c>
      <c r="J155" s="42" t="str">
        <f>IFERROR(__xludf.DUMMYFUNCTION("GOOGLETRANSLATE(I155,""en"",""pl"")"),"Seria X oparta na Wisenet 7 i AI, rozdzielczość 4MP @ 30FPS, obiektyw 6,91mm~214,64mm (31x) z inteligentnym autofokusem Wise AF, adaptacyjny Wise IR (300m), ekstremalny WDR 120dB, Day &amp; Night ICR, H.265, H.264, potrójny kodek MJPEG z obsługą WiseStream II"&amp;"I (na podstawie silnika AI), zdarzenia analityczne oparte na silniku AI: wykrywanie obiektów (osoba/twarz/pojazd/tablica rejestracyjna), wirtualna linia (przejście/kierunek), wirtualny obszar (włóczęgostwo/wtargnięcie/wejście/wyjście), zdarzenia analitycz"&amp;"ne: wykrywanie braku ostrości, wykrywanie ruchu, manipulacja, wykrywanie mgły, wykrywanie dźwięku, klasyfikacja dźwięku (z NW I/O box), automatyczne śledzenie obiektów AI (osoba/pojazd) ze śledzeniem blokady celu, BLC, HLC, SSDR, podgrzewacz obiektywu do "&amp;"usuwania wody/śniegu, IP66, IP67, IK10, NEMA4X, NEMA-TS 2 (2.2.8, 2.2.9), FIPS 140-2, w zestawie wtryskiwacz HPoE, temperatura pracy -50°C~+55°C (-58°F ~ +131°F), (kompatybilny z modułem I/O SPM-4210)")</f>
        <v>Seria X oparta na Wisenet 7 i AI, rozdzielczość 4MP @ 30FPS, obiektyw 6,91mm~214,64mm (31x) z inteligentnym autofokusem Wise AF, adaptacyjny Wise IR (300m), ekstremalny WDR 120dB, Day &amp; Night ICR, H.265, H.264, potrójny kodek MJPEG z obsługą WiseStream III (na podstawie silnika AI), zdarzenia analityczne oparte na silniku AI: wykrywanie obiektów (osoba/twarz/pojazd/tablica rejestracyjna), wirtualna linia (przejście/kierunek), wirtualny obszar (włóczęgostwo/wtargnięcie/wejście/wyjście), zdarzenia analityczne: wykrywanie braku ostrości, wykrywanie ruchu, manipulacja, wykrywanie mgły, wykrywanie dźwięku, klasyfikacja dźwięku (z NW I/O box), automatyczne śledzenie obiektów AI (osoba/pojazd) ze śledzeniem blokady celu, BLC, HLC, SSDR, podgrzewacz obiektywu do usuwania wody/śniegu, IP66, IP67, IK10, NEMA4X, NEMA-TS 2 (2.2.8, 2.2.9), FIPS 140-2, w zestawie wtryskiwacz HPoE, temperatura pracy -50°C~+55°C (-58°F ~ +131°F), (kompatybilny z modułem I/O SPM-4210)</v>
      </c>
      <c r="K155" s="43" t="s">
        <v>189</v>
      </c>
      <c r="L155" s="44">
        <v>4250.0</v>
      </c>
      <c r="M155" s="8"/>
      <c r="N155" s="45" t="s">
        <v>22</v>
      </c>
      <c r="O155" s="97"/>
      <c r="P155" s="36"/>
      <c r="Q155" s="35"/>
      <c r="R155" s="68"/>
      <c r="S155" s="68"/>
      <c r="T155" s="68"/>
      <c r="U155" s="35"/>
      <c r="V155" s="35"/>
      <c r="W155" s="35"/>
      <c r="X155" s="35"/>
      <c r="Y155" s="35"/>
      <c r="Z155" s="35"/>
      <c r="AA155" s="35"/>
      <c r="AB155" s="35"/>
      <c r="AC155" s="60"/>
      <c r="AD155" s="85"/>
      <c r="AE155" s="85"/>
      <c r="AF155" s="85"/>
      <c r="AG155" s="85"/>
      <c r="AH155" s="85"/>
      <c r="AI155" s="85"/>
      <c r="AJ155" s="85"/>
      <c r="AK155" s="85"/>
      <c r="AL155" s="85"/>
      <c r="AM155" s="85"/>
      <c r="AN155" s="85"/>
      <c r="AO155" s="85"/>
      <c r="AP155" s="85"/>
    </row>
    <row r="156" ht="46.5" customHeight="1">
      <c r="A156" s="29"/>
      <c r="B156" s="38" t="s">
        <v>118</v>
      </c>
      <c r="C156" s="39" t="s">
        <v>549</v>
      </c>
      <c r="D156" s="40" t="s">
        <v>550</v>
      </c>
      <c r="E156" s="40" t="s">
        <v>16</v>
      </c>
      <c r="F156" s="40" t="s">
        <v>538</v>
      </c>
      <c r="G156" s="39" t="s">
        <v>213</v>
      </c>
      <c r="H156" s="41" t="s">
        <v>19</v>
      </c>
      <c r="I156" s="42" t="s">
        <v>551</v>
      </c>
      <c r="J156" s="42" t="str">
        <f>IFERROR(__xludf.DUMMYFUNCTION("GOOGLETRANSLATE(I156,""en"",""pl"")"),"Seria T oparta na technologii Wisenet 9, wytrzymała kamera PTZ z pozycjonowaniem AI, rozdzielczość 4 MP przy 30 kl./s, obiektyw z autofokusem 6,1 mm~262,4 mm (43x), adaptacyjny Wise IR (450 m), extremeWDR 120 dB, dzień i noc (ICR), kodek H.265/H.264/MJPEG"&amp;", optyczna stabilizacja obrazu, przekazywanie, WiseStream oparty na sztucznej inteligencji, WiseNR Ⅱ (z wykorzystaniem silnika AI), dynamiczna maska ​​prywatności, zdarzenia IVA oparte na silniku AI: wykrywanie ruchu i obiektów, przekroczenie linii (przek"&amp;"roczenie/kierunek), obszar IVA (włóczęgostwo/wtargnięcie/wejście/wyjście/pojawienie się/zniknięcie), poślizg i upadek, klasyfikowane typy obiektów: (osoba/twarz/pojazd/tablica rejestracyjna), atrybuty obiektów (osoba: płeć/kolor górnej/dolnej części ubran"&amp;"ia/torba, twarz: Wiek/Płeć/Maska/Okulary, Pojazd: typ/kolor), BestShot, Zdarzenia analityczne (manipulacja, wykrywanie wstrząsów, wykrywanie dźwięku), Wykrywanie dźwięku, Klasyfikacja dźwięku (z NW I/O box), Automatyczne śledzenie obiektów AI (osoba/pojaz"&amp;"d) ze śledzeniem blokady celu, Bezpieczny element z FIPS 140-3 poziom 3, Wbudowane gniazdo na kartę microSD (do 1 TB), IP66/IP68, IK10 (z wyjątkiem okna), NEMA 4X, NEMA-TS 2 (2.2.7.2-8, 2.2.8, 2.2.9), MIL-STD-810H ASTM B117, Temperatura pracy: -50°C~+60°C"&amp;" (-58°F~+140°F), Obciążenie wiatrem 258 km/h (160 mph), Zasilanie: HPoE IEEE802.3bt typ 4, Klasa 8 (wtryskiwacz PoE nie jest dołączony), Ekranowany metalem RJ-45, biały.")</f>
        <v>Seria T oparta na technologii Wisenet 9, wytrzymała kamera PTZ z pozycjonowaniem AI, rozdzielczość 4 MP przy 30 kl./s, obiektyw z autofokusem 6,1 mm~262,4 mm (43x), adaptacyjny Wise IR (450 m), extremeWDR 120 dB, dzień i noc (ICR), kodek H.265/H.264/MJPEG, optyczna stabilizacja obrazu, przekazywanie, WiseStream oparty na sztucznej inteligencji, WiseNR Ⅱ (z wykorzystaniem silnika AI), dynamiczna maska ​​prywatności, zdarzenia IVA oparte na silniku AI: wykrywanie ruchu i obiektów, przekroczenie linii (przekroczenie/kierunek), obszar IVA (włóczęgostwo/wtargnięcie/wejście/wyjście/pojawienie się/zniknięcie), poślizg i upadek, klasyfikowane typy obiektów: (osoba/twarz/pojazd/tablica rejestracyjna), atrybuty obiektów (osoba: płeć/kolor górnej/dolnej części ubrania/torba, twarz: Wiek/Płeć/Maska/Okulary, Pojazd: typ/kolor), BestShot, Zdarzenia analityczne (manipulacja, wykrywanie wstrząsów, wykrywanie dźwięku), Wykrywanie dźwięku, Klasyfikacja dźwięku (z NW I/O box), Automatyczne śledzenie obiektów AI (osoba/pojazd) ze śledzeniem blokady celu, Bezpieczny element z FIPS 140-3 poziom 3, Wbudowane gniazdo na kartę microSD (do 1 TB), IP66/IP68, IK10 (z wyjątkiem okna), NEMA 4X, NEMA-TS 2 (2.2.7.2-8, 2.2.8, 2.2.9), MIL-STD-810H ASTM B117, Temperatura pracy: -50°C~+60°C (-58°F~+140°F), Obciążenie wiatrem 258 km/h (160 mph), Zasilanie: HPoE IEEE802.3bt typ 4, Klasa 8 (wtryskiwacz PoE nie jest dołączony), Ekranowany metalem RJ-45, biały.</v>
      </c>
      <c r="K156" s="43" t="s">
        <v>189</v>
      </c>
      <c r="L156" s="44">
        <v>8200.0</v>
      </c>
      <c r="M156" s="8"/>
      <c r="N156" s="45" t="s">
        <v>22</v>
      </c>
      <c r="O156" s="97"/>
      <c r="P156" s="36"/>
      <c r="Q156" s="35"/>
      <c r="R156" s="68"/>
      <c r="S156" s="68"/>
      <c r="T156" s="68"/>
      <c r="U156" s="35"/>
      <c r="V156" s="35"/>
      <c r="W156" s="35"/>
      <c r="X156" s="35"/>
      <c r="Y156" s="35"/>
      <c r="Z156" s="35"/>
      <c r="AA156" s="35"/>
      <c r="AB156" s="35"/>
      <c r="AC156" s="60"/>
      <c r="AD156" s="85"/>
      <c r="AE156" s="85"/>
      <c r="AF156" s="85"/>
      <c r="AG156" s="85"/>
      <c r="AH156" s="85"/>
      <c r="AI156" s="85"/>
      <c r="AJ156" s="85"/>
      <c r="AK156" s="85"/>
      <c r="AL156" s="85"/>
      <c r="AM156" s="85"/>
      <c r="AN156" s="85"/>
      <c r="AO156" s="85"/>
      <c r="AP156" s="85"/>
    </row>
    <row r="157" ht="46.5" customHeight="1">
      <c r="A157" s="29"/>
      <c r="B157" s="38" t="s">
        <v>118</v>
      </c>
      <c r="C157" s="39" t="s">
        <v>552</v>
      </c>
      <c r="D157" s="40" t="s">
        <v>537</v>
      </c>
      <c r="E157" s="40" t="s">
        <v>121</v>
      </c>
      <c r="F157" s="40" t="s">
        <v>538</v>
      </c>
      <c r="G157" s="39" t="s">
        <v>18</v>
      </c>
      <c r="H157" s="41" t="s">
        <v>19</v>
      </c>
      <c r="I157" s="48" t="s">
        <v>553</v>
      </c>
      <c r="J157" s="42" t="str">
        <f>IFERROR(__xludf.DUMMYFUNCTION("GOOGLETRANSLATE(I157,""en"",""pl"")"),"Seria P oparta na technologii Wisenet 9, kamera zewnętrzna typu bullet z technologią AI IR, wandaloodporna; maksymalna rozdzielczość 4 MP, 2592 x 1520 przy 60 kl./s; 0,03 luksa przy F1,3 (kolor), 0 luksów (włączona dioda LED podczerwieni czarno-biała); 4,"&amp;"6~9,35 mm (2,0x); pole widzenia H: 105°~47°; obiektyw zmiennoogniskowy z napędem silnikowym; okno z twardą powłoką; kodek H.265/H.264/MJPEG; widoczna długość podczerwieni 60 m (196,85 stopy); port USB ułatwiający instalację; technologia WiseStream oparta "&amp;"na sztucznej inteligencji; WiseNR II (z wykorzystaniem silnika AI); tryb dzień i noc (ICR); extremeWDR (120 dB); DIS z wbudowanym czujnikiem żyroskopowym; przekazywanie; dynamiczna maska ​​prywatności; Analityka oparta na silniku AI: wykrywanie ruchu i ob"&amp;"iektów, przekroczenie linii, obszar IVA, poślizg i upadek, klasyfikacja dźwięku; wykrywanie obiektów: osoba/twarz/pojazd/tablica rejestracyjna; atrybuty obiektów: osoba (płeć, kolor ubrania na górze/na dole, torba), twarz (wiek, płeć, maska, okulary), poj"&amp;"azd (typ, kolor); BestShot; zdarzenia analityczne: rozmycie, ruch, manipulacja, mgła, wykrywanie dźwięku i wstrząsów; Business Intelligence oparty na AI: zliczanie osób/pojazdów/tłumów, zarządzanie kolejkami, mapa cieplna; IP66/IP67, IK10, NEMA 4X, NEMA-T"&amp;"S 2 (2.2.7.2-8, 2.2.8, 2.2.9); temperatura pracy: -50°C~+55°C (-58°F~+131°F); element bezpieczny z FIPS 140-3 poziom 3; Wbudowane gniazdo na kartę MicroSD (1TB x 2); Zasilanie: PoE+/12 V DC; Metalowe ekranowane złącze RJ-45")</f>
        <v>Seria P oparta na technologii Wisenet 9, kamera zewnętrzna typu bullet z technologią AI IR, wandaloodporna; maksymalna rozdzielczość 4 MP, 2592 x 1520 przy 60 kl./s; 0,03 luksa przy F1,3 (kolor), 0 luksów (włączona dioda LED podczerwieni czarno-biała); 4,6~9,35 mm (2,0x); pole widzenia H: 105°~47°; obiektyw zmiennoogniskowy z napędem silnikowym; okno z twardą powłoką; kodek H.265/H.264/MJPEG; widoczna długość podczerwieni 60 m (196,85 stopy); port USB ułatwiający instalację; technologia WiseStream oparta na sztucznej inteligencji;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osób/pojazdów/tłumów, zarządzanie kolejkami, mapa cieplna; IP66/IP67, IK10, NEMA 4X, NEMA-TS 2 (2.2.7.2-8, 2.2.8, 2.2.9); temperatura pracy: -50°C~+55°C (-58°F~+131°F); element bezpieczny z FIPS 140-3 poziom 3; Wbudowane gniazdo na kartę MicroSD (1TB x 2); Zasilanie: PoE+/12 V DC; Metalowe ekranowane złącze RJ-45</v>
      </c>
      <c r="K157" s="123" t="s">
        <v>21</v>
      </c>
      <c r="L157" s="44">
        <v>1670.0</v>
      </c>
      <c r="M157" s="8"/>
      <c r="N157" s="45" t="s">
        <v>22</v>
      </c>
      <c r="O157" s="97"/>
      <c r="P157" s="36"/>
      <c r="Q157" s="35"/>
      <c r="R157" s="68"/>
      <c r="S157" s="68"/>
      <c r="T157" s="68"/>
      <c r="U157" s="35"/>
      <c r="V157" s="35"/>
      <c r="W157" s="35"/>
      <c r="X157" s="35"/>
      <c r="Y157" s="35"/>
      <c r="Z157" s="35"/>
      <c r="AA157" s="35"/>
      <c r="AB157" s="35"/>
      <c r="AC157" s="60"/>
      <c r="AD157" s="85"/>
      <c r="AE157" s="85"/>
      <c r="AF157" s="85"/>
      <c r="AG157" s="85"/>
      <c r="AH157" s="85"/>
      <c r="AI157" s="85"/>
      <c r="AJ157" s="85"/>
      <c r="AK157" s="85"/>
      <c r="AL157" s="85"/>
      <c r="AM157" s="85"/>
      <c r="AN157" s="85"/>
      <c r="AO157" s="85"/>
      <c r="AP157" s="85"/>
    </row>
    <row r="158" ht="46.5" customHeight="1">
      <c r="A158" s="29"/>
      <c r="B158" s="38" t="s">
        <v>118</v>
      </c>
      <c r="C158" s="39" t="s">
        <v>554</v>
      </c>
      <c r="D158" s="40" t="s">
        <v>541</v>
      </c>
      <c r="E158" s="40" t="s">
        <v>16</v>
      </c>
      <c r="F158" s="40" t="s">
        <v>538</v>
      </c>
      <c r="G158" s="39" t="s">
        <v>184</v>
      </c>
      <c r="H158" s="41" t="s">
        <v>19</v>
      </c>
      <c r="I158" s="42" t="s">
        <v>555</v>
      </c>
      <c r="J158" s="42" t="str">
        <f>IFERROR(__xludf.DUMMYFUNCTION("GOOGLETRANSLATE(I158,""en"",""pl"")"),"Seria P oparta na technologii Wisenet 9, kamera kopułkowa zewnętrzna z AI IR, chroniąca przed wandalizmem; maksymalna rozdzielczość 4 MP, 2592 x 1520 przy 60 kl./s; 0,03 luksa przy F1,3 (kolor), 0 luksów (włączona dioda LED podczerwieni czarno-biała); 4,6"&amp;"~9,35 mm (2,0x); pole widzenia H: 105°~47°; obiektyw zmiennoogniskowy z napędem silnikowym, zdalna regulacja obiektywu (PTRZ); kopułka z twardą powłoką; kodek H.265/H.264/MJPEG; widoczna długość podczerwieni 30 m (98,43 stopy); port USB ułatwiający instal"&amp;"ację; technologia WiseStream oparta na sztucznej inteligencji; WiseNR II (z wykorzystaniem silnika AI); tryb dzień i noc (ICR); extremeWDR (120 dB); DIS z wbudowanym czujnikiem żyroskopowym; przekazywanie; dynamiczna maska ​​prywatności; Analityka oparta "&amp;"na silniku AI: wykrywanie ruchu i obiektów, przekroczenie linii, obszar IVA, poślizg i upadek, klasyfikacja dźwięku; wykrywanie obiektów: osoba/twarz/pojazd/tablica rejestracyjna; atrybuty obiektów: osoba (płeć, kolor ubrania na górze/na dole, torba), twa"&amp;"rz (wiek, płeć, maska, okulary), pojazd (typ, kolor); BestShot; zdarzenia analityczne: rozmycie, ruch, manipulacja, mgła, wykrywanie dźwięku i wstrząsów; Business Intelligence oparty na AI: zliczanie osób/pojazdów/tłumów, zarządzanie kolejkami, mapa ciepl"&amp;"na; IP66/IP67, IK10, NEMA 4X, NEMA-TS 2 (2.2.7.2-8, 2.2.8, 2.2.9); element bezpieczny z FIPS 140-3 poziom 3; temperatura pracy: -50°C~+55°C (-58°F~+131°F); Wbudowane gniazdo na kartę MicroSD (1TB x 2); Zasilanie: PoE+; Metalowe ekranowane złącze RJ-45")</f>
        <v>Seria P oparta na technologii Wisenet 9, kamera kopułkowa zewnętrzna z AI IR, chroniąca przed wandalizmem; maksymalna rozdzielczość 4 MP, 2592 x 1520 przy 60 kl./s; 0,03 luksa przy F1,3 (kolor), 0 luksów (włączona dioda LED podczerwieni czarno-biała); 4,6~9,35 mm (2,0x); pole widzenia H: 105°~47°; obiektyw zmiennoogniskowy z napędem silnikowym, zdalna regulacja obiektywu (PTRZ); kopułka z twardą powłoką; kodek H.265/H.264/MJPEG; widoczna długość podczerwieni 30 m (98,43 stopy); port USB ułatwiający instalację; technologia WiseStream oparta na sztucznej inteligencji;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zliczanie osób/pojazdów/tłumów, zarządzanie kolejkami, mapa cieplna; IP66/IP67, IK10, NEMA 4X, NEMA-TS 2 (2.2.7.2-8, 2.2.8, 2.2.9); element bezpieczny z FIPS 140-3 poziom 3; temperatura pracy: -50°C~+55°C (-58°F~+131°F); Wbudowane gniazdo na kartę MicroSD (1TB x 2); Zasilanie: PoE+; Metalowe ekranowane złącze RJ-45</v>
      </c>
      <c r="K158" s="43" t="s">
        <v>189</v>
      </c>
      <c r="L158" s="44">
        <v>1770.0</v>
      </c>
      <c r="M158" s="8"/>
      <c r="N158" s="45" t="s">
        <v>22</v>
      </c>
      <c r="O158" s="97"/>
      <c r="P158" s="36"/>
      <c r="Q158" s="35"/>
      <c r="R158" s="68"/>
      <c r="S158" s="68"/>
      <c r="T158" s="68"/>
      <c r="U158" s="35"/>
      <c r="V158" s="35"/>
      <c r="W158" s="35"/>
      <c r="X158" s="35"/>
      <c r="Y158" s="35"/>
      <c r="Z158" s="35"/>
      <c r="AA158" s="35"/>
      <c r="AB158" s="35"/>
      <c r="AC158" s="60"/>
      <c r="AD158" s="85"/>
      <c r="AE158" s="85"/>
      <c r="AF158" s="85"/>
      <c r="AG158" s="85"/>
      <c r="AH158" s="85"/>
      <c r="AI158" s="85"/>
      <c r="AJ158" s="85"/>
      <c r="AK158" s="85"/>
      <c r="AL158" s="85"/>
      <c r="AM158" s="85"/>
      <c r="AN158" s="85"/>
      <c r="AO158" s="85"/>
      <c r="AP158" s="85"/>
    </row>
    <row r="159" ht="46.5" customHeight="1">
      <c r="A159" s="29"/>
      <c r="B159" s="38" t="s">
        <v>118</v>
      </c>
      <c r="C159" s="39" t="s">
        <v>556</v>
      </c>
      <c r="D159" s="40" t="s">
        <v>544</v>
      </c>
      <c r="E159" s="40" t="s">
        <v>121</v>
      </c>
      <c r="F159" s="40" t="s">
        <v>538</v>
      </c>
      <c r="G159" s="39" t="s">
        <v>192</v>
      </c>
      <c r="H159" s="41" t="s">
        <v>19</v>
      </c>
      <c r="I159" s="48" t="s">
        <v>557</v>
      </c>
      <c r="J159" s="42" t="str">
        <f>IFERROR(__xludf.DUMMYFUNCTION("GOOGLETRANSLATE(I159,""en"",""pl"")"),"Seria P oparta na technologii Wisenet 9, kamera kopułkowa do wnętrz z technologią AI IR; maksymalna rozdzielczość 4 MP, 2592 x 1520 przy 60 kl./s; 0,03 luksa przy F1,3 (kolor), 0 luksów (włączona dioda LED podczerwieni czarno-biała); 4,6~9,35 mm (2,0x); p"&amp;"ole widzenia H: 105°~47°; obiektyw zmiennoogniskowy z napędem silnikowym, kopułka z twardą powłoką; kodek H.265/H.264/MJPEG; widoczna długość podczerwieni 60 m (196,85 stopy); port USB ułatwiający instalację; wybieralne wejście mikrofonowe (wejście mikrof"&amp;"onowe/wejście liniowe/wbudowane 3 mikrofony), oparta na sztucznej inteligencji technologia WiseStream; WiseNR II (z wykorzystaniem silnika AI); tryb dzień i noc (ICR); extremeWDR (120 dB); DIS z wbudowanym czujnikiem żyroskopowym; przekazywanie; dynamiczn"&amp;"a maska ​​prywatności; Analityka oparta na silniku AI: wykrywanie ruchu i obiektów, przekroczenie linii, obszar IVA, poślizg i upadek, klasyfikacja dźwięku; wykrywanie obiektów: osoba/twarz/pojazd/tablica rejestracyjna; atrybuty obiektów: osoba (płeć, kol"&amp;"or ubrania na górze/na dole, torba), twarz (wiek, płeć, maska, okulary), pojazd (typ, kolor); BestShot; zdarzenia analityczne: rozmycie, ruch, manipulacja, mgła, wykrywanie dźwięku i wstrząsów; Business Intelligence oparty na AI: liczenie osób/pojazdów/tł"&amp;"umu, zarządzanie kolejkami, mapa cieplna; IP52, IK10; temperatura pracy: -25°C~+50°C (-13°F~+122°F); element bezpieczny z FIPS 140-3 poziom 3; wbudowane gniazdo na kartę MicroSD (1 TB x 2); zasilanie: PoE+/12 V DC; ekranowany metalem RJ-45")</f>
        <v>Seria P oparta na technologii Wisenet 9, kamera kopułkowa do wnętrz z technologią AI IR; maksymalna rozdzielczość 4 MP, 2592 x 1520 przy 60 kl./s; 0,03 luksa przy F1,3 (kolor), 0 luksów (włączona dioda LED podczerwieni czarno-biała); 4,6~9,35 mm (2,0x); pole widzenia H: 105°~47°; obiektyw zmiennoogniskowy z napędem silnikowym, kopułka z twardą powłoką; kodek H.265/H.264/MJPEG; widoczna długość podczerwieni 60 m (196,85 stopy); port USB ułatwiający instalację; wybieralne wejście mikrofonowe (wejście mikrofonowe/wejście liniowe/wbudowane 3 mikrofony), oparta na sztucznej inteligencji technologia WiseStream; WiseNR II (z wykorzystaniem silnika AI); tryb dzień i noc (ICR); extremeWDR (120 dB); DIS z wbudowanym czujnikiem żyroskopowym; przekazywanie; dynamiczna maska ​​prywatności; Analityka oparta na silniku AI: wykrywanie ruchu i obiektów, przekroczenie linii, obszar IVA, poślizg i upadek, klasyfikacja dźwięku; wykrywanie obiektów: osoba/twarz/pojazd/tablica rejestracyjna; atrybuty obiektów: osoba (płeć, kolor ubrania na górze/na dole, torba), twarz (wiek, płeć, maska, okulary), pojazd (typ, kolor); BestShot; zdarzenia analityczne: rozmycie, ruch, manipulacja, mgła, wykrywanie dźwięku i wstrząsów; Business Intelligence oparty na AI: liczenie osób/pojazdów/tłumu, zarządzanie kolejkami, mapa cieplna; IP52, IK10; temperatura pracy: -25°C~+50°C (-13°F~+122°F); element bezpieczny z FIPS 140-3 poziom 3; wbudowane gniazdo na kartę MicroSD (1 TB x 2); zasilanie: PoE+/12 V DC; ekranowany metalem RJ-45</v>
      </c>
      <c r="K159" s="123" t="s">
        <v>21</v>
      </c>
      <c r="L159" s="44">
        <v>1570.0</v>
      </c>
      <c r="M159" s="8"/>
      <c r="N159" s="45" t="s">
        <v>22</v>
      </c>
      <c r="O159" s="97"/>
      <c r="P159" s="36"/>
      <c r="Q159" s="35"/>
      <c r="R159" s="68"/>
      <c r="S159" s="68"/>
      <c r="T159" s="68"/>
      <c r="U159" s="35"/>
      <c r="V159" s="35"/>
      <c r="W159" s="35"/>
      <c r="X159" s="35"/>
      <c r="Y159" s="35"/>
      <c r="Z159" s="35"/>
      <c r="AA159" s="35"/>
      <c r="AB159" s="35"/>
      <c r="AC159" s="60"/>
      <c r="AD159" s="85"/>
      <c r="AE159" s="85"/>
      <c r="AF159" s="85"/>
      <c r="AG159" s="85"/>
      <c r="AH159" s="85"/>
      <c r="AI159" s="85"/>
      <c r="AJ159" s="85"/>
      <c r="AK159" s="85"/>
      <c r="AL159" s="85"/>
      <c r="AM159" s="85"/>
      <c r="AN159" s="85"/>
      <c r="AO159" s="85"/>
      <c r="AP159" s="85"/>
    </row>
    <row r="160" ht="46.5" customHeight="1">
      <c r="A160" s="29"/>
      <c r="B160" s="38" t="s">
        <v>118</v>
      </c>
      <c r="C160" s="39" t="s">
        <v>558</v>
      </c>
      <c r="D160" s="40" t="s">
        <v>559</v>
      </c>
      <c r="E160" s="40" t="s">
        <v>121</v>
      </c>
      <c r="F160" s="40" t="s">
        <v>538</v>
      </c>
      <c r="G160" s="39" t="s">
        <v>123</v>
      </c>
      <c r="H160" s="41" t="s">
        <v>19</v>
      </c>
      <c r="I160" s="48" t="s">
        <v>560</v>
      </c>
      <c r="J160" s="42" t="str">
        <f>IFERROR(__xludf.DUMMYFUNCTION("GOOGLETRANSLATE(I160,""en"",""pl"")"),"Seria P sieciowa kamera kopułkowa wielokierunkowa z podwójnym czujnikiem, zabezpieczająca przed wandalizmem, oparta na sztucznej inteligencji, 2 x 2 MP@25/30 kl./s, 360 stopni, 25 m podczerwieni, obiektywy zmiennoogniskowe z napędem silnikowym 3~6 mm, Wis"&amp;"eNR II, automatyczne sterowanie migawką, WiseStream III, ExtremeWDR (120 dB), widok korytarza, analityka AI, wykrywanie obiektów z klasyfikacją: osoba, twarz, pojazd, tablica rejestracyjna i atrybuty pojazdu: samochód, autobus, ciężarówka, motocykl, rower"&amp;", linia wirtualna (przejście/kierunek), obszar wirtualny (włóczęgostwo/wtargnięcie/wejście/wyjście), BestShot, wykrywanie ruchu, wykrywanie braku ostrości, manipulacja, gniazdo karty SD 512 GB maks., PoE+, domyślne zabezpieczenie, TPM 2.0 (FIPS 140-2), IP"&amp;"66, NEMA4X, IK10. Kompatybilny z modułem wejścia/wyjścia IP SPM-4210 umożliwiającym podłączanie alarmów/urządzeń audio oraz obsługę wykrywania dźwięku i analizy klasyfikacji dźwięku w kamerach")</f>
        <v>Seria P sieciowa kamera kopułkowa wielokierunkowa z podwójnym czujnikiem, zabezpieczająca przed wandalizmem, oparta na sztucznej inteligencji, 2 x 2 MP@25/30 kl./s, 360 stopni, 25 m podczerwieni, obiektywy zmiennoogniskowe z napędem silnikowym 3~6 mm, WiseNR II, automatyczne sterowanie migawką, WiseStream III, ExtremeWDR (120 dB), widok korytarza, analityka AI, wykrywanie obiektów z klasyfikacją: osoba, twarz, pojazd, tablica rejestracyjna i atrybuty pojazdu: samochód, autobus, ciężarówka, motocykl, rower, linia wirtualna (przejście/kierunek), obszar wirtualny (włóczęgostwo/wtargnięcie/wejście/wyjście), BestShot, wykrywanie ruchu, wykrywanie braku ostrości, manipulacja, gniazdo karty SD 512 GB maks., PoE+, domyślne zabezpieczenie, TPM 2.0 (FIPS 140-2), IP66, NEMA4X, IK10. Kompatybilny z modułem wejścia/wyjścia IP SPM-4210 umożliwiającym podłączanie alarmów/urządzeń audio oraz obsługę wykrywania dźwięku i analizy klasyfikacji dźwięku w kamerach</v>
      </c>
      <c r="K160" s="123" t="s">
        <v>21</v>
      </c>
      <c r="L160" s="44">
        <v>1500.0</v>
      </c>
      <c r="M160" s="8"/>
      <c r="N160" s="45" t="s">
        <v>22</v>
      </c>
      <c r="O160" s="97"/>
      <c r="P160" s="36"/>
      <c r="Q160" s="35"/>
      <c r="R160" s="68"/>
      <c r="S160" s="68"/>
      <c r="T160" s="68"/>
      <c r="U160" s="35"/>
      <c r="V160" s="35"/>
      <c r="W160" s="35"/>
      <c r="X160" s="35"/>
      <c r="Y160" s="35"/>
      <c r="Z160" s="35"/>
      <c r="AA160" s="35"/>
      <c r="AB160" s="35"/>
      <c r="AC160" s="60"/>
      <c r="AD160" s="85"/>
      <c r="AE160" s="85"/>
      <c r="AF160" s="85"/>
      <c r="AG160" s="85"/>
      <c r="AH160" s="85"/>
      <c r="AI160" s="85"/>
      <c r="AJ160" s="85"/>
      <c r="AK160" s="85"/>
      <c r="AL160" s="85"/>
      <c r="AM160" s="85"/>
      <c r="AN160" s="85"/>
      <c r="AO160" s="85"/>
      <c r="AP160" s="85"/>
    </row>
    <row r="161" ht="109.5" customHeight="1">
      <c r="A161" s="29"/>
      <c r="B161" s="38" t="s">
        <v>118</v>
      </c>
      <c r="C161" s="39" t="s">
        <v>561</v>
      </c>
      <c r="D161" s="40" t="s">
        <v>562</v>
      </c>
      <c r="E161" s="40" t="s">
        <v>121</v>
      </c>
      <c r="F161" s="40" t="s">
        <v>538</v>
      </c>
      <c r="G161" s="39" t="s">
        <v>123</v>
      </c>
      <c r="H161" s="41" t="s">
        <v>19</v>
      </c>
      <c r="I161" s="48" t="s">
        <v>563</v>
      </c>
      <c r="J161" s="42" t="str">
        <f>IFERROR(__xludf.DUMMYFUNCTION("GOOGLETRANSLATE(I161,""en"",""pl"")"),"Wielokierunkowa kamera kopułkowa zewnętrzna z podwójnym czujnikiem serii P, 2 x 2 MP@25/30 kl./s, 360 stopni, 25 m podczerwieni, obiektywy zmiennoogniskowe z napędem silnikowym 3~6 mm, WiseNR, WiseStream II, ExtremeWDR (150 dB), funkcja usuwania mgły, wid"&amp;"ok korytarzowy, wykrywanie rozmycia ostrości, wykrywanie ruchu, manipulacja, wirtualna linia (przekroczenie/kierunek), wirtualny obszar (zachowanie się/wejście/wyjście), gniazdo karty SD do 512 GB, PoE+, zabezpieczenie domyślne, TPM 2.0 (FIPS 140-2), IP66"&amp;", NEMA4X, IK10. Kompatybilna z modułem wejścia/wyjścia IP SPM-4210 do podłączania alarmów/urządzeń audio oraz obsługi detekcji dźwięku i analizy klasyfikacji dźwięku w kamerze.")</f>
        <v>Wielokierunkowa kamera kopułkowa zewnętrzna z podwójnym czujnikiem serii P, 2 x 2 MP@25/30 kl./s, 360 stopni, 25 m podczerwieni, obiektywy zmiennoogniskowe z napędem silnikowym 3~6 mm, WiseNR, WiseStream II, ExtremeWDR (150 dB), funkcja usuwania mgły, widok korytarzowy, wykrywanie rozmycia ostrości, wykrywanie ruchu, manipulacja, wirtualna linia (przekroczenie/kierunek), wirtualny obszar (zachowanie się/wejście/wyjście), gniazdo karty SD do 512 GB, PoE+, zabezpieczenie domyślne, TPM 2.0 (FIPS 140-2), IP66, NEMA4X, IK10. Kompatybilna z modułem wejścia/wyjścia IP SPM-4210 do podłączania alarmów/urządzeń audio oraz obsługi detekcji dźwięku i analizy klasyfikacji dźwięku w kamerze.</v>
      </c>
      <c r="K161" s="43" t="s">
        <v>21</v>
      </c>
      <c r="L161" s="44">
        <v>1290.0</v>
      </c>
      <c r="M161" s="8"/>
      <c r="N161" s="45" t="s">
        <v>22</v>
      </c>
      <c r="O161" s="97"/>
      <c r="P161" s="36"/>
      <c r="Q161" s="35"/>
      <c r="R161" s="68"/>
      <c r="S161" s="68"/>
      <c r="T161" s="68"/>
      <c r="U161" s="35"/>
      <c r="V161" s="35"/>
      <c r="W161" s="35"/>
      <c r="X161" s="35"/>
      <c r="Y161" s="35"/>
      <c r="Z161" s="35"/>
      <c r="AA161" s="35"/>
      <c r="AB161" s="35"/>
      <c r="AC161" s="60"/>
      <c r="AD161" s="85"/>
      <c r="AE161" s="85"/>
      <c r="AF161" s="85"/>
      <c r="AG161" s="85"/>
      <c r="AH161" s="85"/>
      <c r="AI161" s="85"/>
      <c r="AJ161" s="85"/>
      <c r="AK161" s="85"/>
      <c r="AL161" s="85"/>
      <c r="AM161" s="85"/>
      <c r="AN161" s="85"/>
      <c r="AO161" s="85"/>
      <c r="AP161" s="85"/>
    </row>
    <row r="162" ht="90.0" customHeight="1">
      <c r="A162" s="29"/>
      <c r="B162" s="38" t="s">
        <v>118</v>
      </c>
      <c r="C162" s="39" t="s">
        <v>564</v>
      </c>
      <c r="D162" s="40" t="s">
        <v>565</v>
      </c>
      <c r="E162" s="40" t="s">
        <v>174</v>
      </c>
      <c r="F162" s="40" t="s">
        <v>538</v>
      </c>
      <c r="G162" s="39" t="s">
        <v>18</v>
      </c>
      <c r="H162" s="41" t="s">
        <v>170</v>
      </c>
      <c r="I162" s="110" t="s">
        <v>566</v>
      </c>
      <c r="J162" s="42" t="str">
        <f>IFERROR(__xludf.DUMMYFUNCTION("GOOGLETRANSLATE(I162,""en"",""pl"")"),"Kamera zewnętrzna z serii Q z kamerą typu bullet z podczerwienią i zabezpieczeniem przed wandalizmem, 4 MP @30 kl./s, obiektyw zmiennoogniskowy z napędem silnikowym 3,2–10,0 mm (4,3x) (109,7°–26°), potrójny kodek H.265/H.264/MJPEG z funkcją WiseStream, st"&amp;"rumieniowanie wielokrotne, WDR 120 dB, tryb True Day &amp; Night (ICR), widoczność podczerwieni 30 m, wykrywanie ruchu, wykrywanie manipulacji, wykrywanie braku ostrości, widok korytarzowy, jednokierunkowy dźwięk i gniazdo microSD/SDHC/SDXC, obsługa LDC (kore"&amp;"kcja zniekształceń obiektywu), IP66, IK10, PoE/12 V DC")</f>
        <v>Kamera zewnętrzna z serii Q z kamerą typu bullet z podczerwienią i zabezpieczeniem przed wandalizmem, 4 MP @30 kl./s, obiektyw zmiennoogniskowy z napędem silnikowym 3,2–10,0 mm (4,3x) (109,7°–26°), potrójny kodek H.265/H.264/MJPEG z funkcją WiseStream, strumieniowanie wielokrotne, WDR 120 dB, tryb True Day &amp; Night (ICR), widoczność podczerwieni 30 m, wykrywanie ruchu, wykrywanie manipulacji, wykrywanie braku ostrości, widok korytarzowy, jednokierunkowy dźwięk i gniazdo microSD/SDHC/SDXC, obsługa LDC (korekcja zniekształceń obiektywu), IP66, IK10, PoE/12 V DC</v>
      </c>
      <c r="K162" s="43" t="s">
        <v>21</v>
      </c>
      <c r="L162" s="44">
        <v>570.0</v>
      </c>
      <c r="M162" s="8"/>
      <c r="N162" s="45" t="s">
        <v>22</v>
      </c>
      <c r="O162" s="97"/>
      <c r="P162" s="36"/>
      <c r="Q162" s="35"/>
      <c r="R162" s="68"/>
      <c r="S162" s="68"/>
      <c r="T162" s="68"/>
      <c r="U162" s="35"/>
      <c r="V162" s="35"/>
      <c r="W162" s="35"/>
      <c r="X162" s="35"/>
      <c r="Y162" s="35"/>
      <c r="Z162" s="35"/>
      <c r="AA162" s="35"/>
      <c r="AB162" s="35"/>
      <c r="AC162" s="60"/>
      <c r="AD162" s="85"/>
      <c r="AE162" s="85"/>
      <c r="AF162" s="85"/>
      <c r="AG162" s="85"/>
      <c r="AH162" s="85"/>
      <c r="AI162" s="85"/>
      <c r="AJ162" s="85"/>
      <c r="AK162" s="85"/>
      <c r="AL162" s="85"/>
      <c r="AM162" s="85"/>
      <c r="AN162" s="85"/>
      <c r="AO162" s="85"/>
      <c r="AP162" s="85"/>
    </row>
    <row r="163" ht="90.0" customHeight="1">
      <c r="A163" s="29"/>
      <c r="B163" s="38" t="s">
        <v>118</v>
      </c>
      <c r="C163" s="39" t="s">
        <v>567</v>
      </c>
      <c r="D163" s="40" t="s">
        <v>565</v>
      </c>
      <c r="E163" s="40" t="s">
        <v>174</v>
      </c>
      <c r="F163" s="40" t="s">
        <v>538</v>
      </c>
      <c r="G163" s="39" t="s">
        <v>18</v>
      </c>
      <c r="H163" s="41" t="s">
        <v>19</v>
      </c>
      <c r="I163" s="48" t="s">
        <v>568</v>
      </c>
      <c r="J163" s="42" t="str">
        <f>IFERROR(__xludf.DUMMYFUNCTION("GOOGLETRANSLATE(I163,""en"",""pl"")"),"Kamera zewnętrzna z serii Q z kamerą typu bullet z IR i wandalizmem, 4 MP @30 kl./s, obiektyw stały 6 mm, H.265/H.264/MJPEG z WiseStream, strumieniowanie wielokrotne, WDR 120 dB, tryb dzienny i nocny (automatyczne ICR), zasięg widzenia w podczerwieni 30 m"&amp;", wykrywanie ruchu, manipulacja, wykrywanie braku ostrości, widok korytarzowy, jednokierunkowy dźwięk i gniazdo microSD/SDHC/SDXC, obsługa LDC (korekcja zniekształceń obiektywu), IP66, IK10, PoE/12 V DC")</f>
        <v>Kamera zewnętrzna z serii Q z kamerą typu bullet z IR i wandalizmem, 4 MP @30 kl./s, obiektyw stały 6 mm, H.265/H.264/MJPEG z WiseStream, strumieniowanie wielokrotne, WDR 120 dB, tryb dzienny i nocny (automatyczne ICR), zasięg widzenia w podczerwieni 30 m, wykrywanie ruchu, manipulacja, wykrywanie braku ostrości, widok korytarzowy, jednokierunkowy dźwięk i gniazdo microSD/SDHC/SDXC, obsługa LDC (korekcja zniekształceń obiektywu), IP66, IK10, PoE/12 V DC</v>
      </c>
      <c r="K163" s="43" t="s">
        <v>21</v>
      </c>
      <c r="L163" s="44">
        <v>360.0</v>
      </c>
      <c r="M163" s="8"/>
      <c r="N163" s="45" t="s">
        <v>22</v>
      </c>
      <c r="O163" s="97"/>
      <c r="P163" s="36"/>
      <c r="Q163" s="35"/>
      <c r="R163" s="68"/>
      <c r="S163" s="68"/>
      <c r="T163" s="68"/>
      <c r="U163" s="35"/>
      <c r="V163" s="35"/>
      <c r="W163" s="35"/>
      <c r="X163" s="35"/>
      <c r="Y163" s="35"/>
      <c r="Z163" s="35"/>
      <c r="AA163" s="35"/>
      <c r="AB163" s="35"/>
      <c r="AC163" s="60"/>
      <c r="AD163" s="61"/>
      <c r="AE163" s="61"/>
      <c r="AF163" s="61"/>
      <c r="AG163" s="61"/>
      <c r="AH163" s="61"/>
      <c r="AI163" s="85"/>
      <c r="AJ163" s="85"/>
      <c r="AK163" s="85"/>
      <c r="AL163" s="85"/>
      <c r="AM163" s="85"/>
      <c r="AN163" s="85"/>
      <c r="AO163" s="85"/>
      <c r="AP163" s="85"/>
    </row>
    <row r="164" ht="90.0" customHeight="1">
      <c r="A164" s="29"/>
      <c r="B164" s="38" t="s">
        <v>118</v>
      </c>
      <c r="C164" s="39" t="s">
        <v>569</v>
      </c>
      <c r="D164" s="40" t="s">
        <v>565</v>
      </c>
      <c r="E164" s="40" t="s">
        <v>174</v>
      </c>
      <c r="F164" s="40" t="s">
        <v>538</v>
      </c>
      <c r="G164" s="39" t="s">
        <v>18</v>
      </c>
      <c r="H164" s="41" t="s">
        <v>19</v>
      </c>
      <c r="I164" s="48" t="s">
        <v>570</v>
      </c>
      <c r="J164" s="42" t="str">
        <f>IFERROR(__xludf.DUMMYFUNCTION("GOOGLETRANSLATE(I164,""en"",""pl"")"),"Kamera zewnętrzna z serii Q z kamerą typu bullet z IR, 4 MP @30fps, obiektyw stałoogniskowy 4,0 mm (81°), potrójny kodek H.265/H.264/MJPEG z WiseStream, strumieniowanie wielokrotne, WDR 120 dB, True Day &amp; Night (ICR), widoczność podczerwieni 25 m, wykrywa"&amp;"nie ruchu, manipulacja, wykrywanie braku ostrości, widok korytarzowy, jednokierunkowy dźwięk i gniazdo microSD/SDHC/SDXC, obsługa LDC (korekcja zniekształceń obiektywu), IP66, IK10, PoE/12 V DC")</f>
        <v>Kamera zewnętrzna z serii Q z kamerą typu bullet z IR, 4 MP @30fps, obiektyw stałoogniskowy 4,0 mm (81°), potrójny kodek H.265/H.264/MJPEG z WiseStream, strumieniowanie wielokrotne, WDR 120 dB, True Day &amp; Night (ICR), widoczność podczerwieni 25 m, wykrywanie ruchu, manipulacja, wykrywanie braku ostrości, widok korytarzowy, jednokierunkowy dźwięk i gniazdo microSD/SDHC/SDXC, obsługa LDC (korekcja zniekształceń obiektywu), IP66, IK10, PoE/12 V DC</v>
      </c>
      <c r="K164" s="124" t="s">
        <v>21</v>
      </c>
      <c r="L164" s="44">
        <v>360.0</v>
      </c>
      <c r="M164" s="8"/>
      <c r="N164" s="45" t="s">
        <v>22</v>
      </c>
      <c r="O164" s="97"/>
      <c r="P164" s="36"/>
      <c r="Q164" s="35"/>
      <c r="R164" s="68"/>
      <c r="S164" s="68"/>
      <c r="T164" s="68"/>
      <c r="U164" s="35"/>
      <c r="V164" s="35"/>
      <c r="W164" s="35"/>
      <c r="X164" s="35"/>
      <c r="Y164" s="35"/>
      <c r="Z164" s="35"/>
      <c r="AA164" s="35"/>
      <c r="AB164" s="35"/>
      <c r="AC164" s="60"/>
      <c r="AD164" s="85"/>
      <c r="AE164" s="85"/>
      <c r="AF164" s="85"/>
      <c r="AG164" s="85"/>
      <c r="AH164" s="85"/>
      <c r="AI164" s="85"/>
      <c r="AJ164" s="85"/>
      <c r="AK164" s="85"/>
      <c r="AL164" s="85"/>
      <c r="AM164" s="85"/>
      <c r="AN164" s="85"/>
      <c r="AO164" s="85"/>
      <c r="AP164" s="85"/>
    </row>
    <row r="165" ht="90.0" customHeight="1">
      <c r="A165" s="29"/>
      <c r="B165" s="38" t="s">
        <v>118</v>
      </c>
      <c r="C165" s="39" t="s">
        <v>571</v>
      </c>
      <c r="D165" s="40" t="s">
        <v>565</v>
      </c>
      <c r="E165" s="40" t="s">
        <v>174</v>
      </c>
      <c r="F165" s="40" t="s">
        <v>538</v>
      </c>
      <c r="G165" s="39" t="s">
        <v>18</v>
      </c>
      <c r="H165" s="41" t="s">
        <v>170</v>
      </c>
      <c r="I165" s="110" t="s">
        <v>572</v>
      </c>
      <c r="J165" s="42" t="str">
        <f>IFERROR(__xludf.DUMMYFUNCTION("GOOGLETRANSLATE(I165,""en"",""pl"")"),"Kamera zewnętrzna z serii Q z kamerą typu bullet z IR, 4 MP @30fps, obiektyw stały 2,8 mm, H.265/H.264/MJPEG z WiseStream, strumieniowanie wielokrotne, WDR 120 dB, automatyczne (ICR), widoczność podczerwieni 20 m, wykrywanie braku ostrości, wykrywanie kie"&amp;"runku, wykrywanie ruchu, wejście/wyjście, manipulacja, wirtualna linia, widok korytarza, jednokierunkowe audio i gniazdo microSD/SDHC/SDXC, obsługa LDC (korekcja zniekształceń obiektywu), IP66, IK10, PoE/12 V DC")</f>
        <v>Kamera zewnętrzna z serii Q z kamerą typu bullet z IR, 4 MP @30fps, obiektyw stały 2,8 mm, H.265/H.264/MJPEG z WiseStream, strumieniowanie wielokrotne, WDR 120 dB, automatyczne (ICR), widoczność podczerwieni 20 m, wykrywanie braku ostrości, wykrywanie kierunku, wykrywanie ruchu, wejście/wyjście, manipulacja, wirtualna linia, widok korytarza, jednokierunkowe audio i gniazdo microSD/SDHC/SDXC, obsługa LDC (korekcja zniekształceń obiektywu), IP66, IK10, PoE/12 V DC</v>
      </c>
      <c r="K165" s="43" t="s">
        <v>21</v>
      </c>
      <c r="L165" s="44">
        <v>360.0</v>
      </c>
      <c r="M165" s="8"/>
      <c r="N165" s="45" t="s">
        <v>22</v>
      </c>
      <c r="O165" s="97"/>
      <c r="P165" s="36"/>
      <c r="Q165" s="35"/>
      <c r="R165" s="68"/>
      <c r="S165" s="68"/>
      <c r="T165" s="68"/>
      <c r="U165" s="35"/>
      <c r="V165" s="35"/>
      <c r="W165" s="35"/>
      <c r="X165" s="35"/>
      <c r="Y165" s="35"/>
      <c r="Z165" s="35"/>
      <c r="AA165" s="35"/>
      <c r="AB165" s="35"/>
      <c r="AC165" s="60"/>
      <c r="AD165" s="85"/>
      <c r="AE165" s="85"/>
      <c r="AF165" s="85"/>
      <c r="AG165" s="85"/>
      <c r="AH165" s="85"/>
      <c r="AI165" s="85"/>
      <c r="AJ165" s="85"/>
      <c r="AK165" s="85"/>
      <c r="AL165" s="85"/>
      <c r="AM165" s="85"/>
      <c r="AN165" s="85"/>
      <c r="AO165" s="85"/>
      <c r="AP165" s="85"/>
    </row>
    <row r="166" ht="90.0" customHeight="1">
      <c r="A166" s="29"/>
      <c r="B166" s="38" t="s">
        <v>118</v>
      </c>
      <c r="C166" s="39" t="s">
        <v>573</v>
      </c>
      <c r="D166" s="40" t="s">
        <v>574</v>
      </c>
      <c r="E166" s="40" t="s">
        <v>174</v>
      </c>
      <c r="F166" s="40" t="s">
        <v>538</v>
      </c>
      <c r="G166" s="39" t="s">
        <v>192</v>
      </c>
      <c r="H166" s="41" t="s">
        <v>19</v>
      </c>
      <c r="I166" s="48" t="s">
        <v>575</v>
      </c>
      <c r="J166" s="42" t="str">
        <f>IFERROR(__xludf.DUMMYFUNCTION("GOOGLETRANSLATE(I166,""en"",""pl"")"),"Kamera kopułkowa sieciowa IR serii Q do użytku wewnętrznego, 4 MP @30 kl./s, obiektyw zmiennoogniskowy z napędem silnikowym 3,2 ~ 10,0 mm, matryca CMOS 1/3"", potrójny kodek H.265/H.264/Main/High/MJPEG z WiseStream, strumieniowanie wielokrotne, WDR 120 dB"&amp;", True Day &amp; Night (Auto ICR), widoczność w podczerwieni 20 m, SSNR, detekcja ruchu, manipulacja, detekcja braku ostrości, n, detekcja kierunkowa, detekcja ruchu, widok korytarza wejścia/wyjścia, wbudowany mikrofon i gniazdo microSD/SDHC/SDXC, obsługa LDC"&amp;" (korekcja zniekształceń obiektywu), PoE/12 V DC")</f>
        <v>Kamera kopułkowa sieciowa IR serii Q do użytku wewnętrznego, 4 MP @30 kl./s, obiektyw zmiennoogniskowy z napędem silnikowym 3,2 ~ 10,0 mm, matryca CMOS 1/3", potrójny kodek H.265/H.264/Main/High/MJPEG z WiseStream, strumieniowanie wielokrotne, WDR 120 dB, True Day &amp; Night (Auto ICR), widoczność w podczerwieni 20 m, SSNR, detekcja ruchu, manipulacja, detekcja braku ostrości, n, detekcja kierunkowa, detekcja ruchu, widok korytarza wejścia/wyjścia, wbudowany mikrofon i gniazdo microSD/SDHC/SDXC, obsługa LDC (korekcja zniekształceń obiektywu), PoE/12 V DC</v>
      </c>
      <c r="K166" s="43" t="s">
        <v>21</v>
      </c>
      <c r="L166" s="44">
        <v>515.0</v>
      </c>
      <c r="M166" s="8"/>
      <c r="N166" s="45" t="s">
        <v>22</v>
      </c>
      <c r="O166" s="97"/>
      <c r="P166" s="36"/>
      <c r="Q166" s="35"/>
      <c r="R166" s="68"/>
      <c r="S166" s="68"/>
      <c r="T166" s="68"/>
      <c r="U166" s="35"/>
      <c r="V166" s="35"/>
      <c r="W166" s="35"/>
      <c r="X166" s="35"/>
      <c r="Y166" s="35"/>
      <c r="Z166" s="35"/>
      <c r="AA166" s="35"/>
      <c r="AB166" s="35"/>
      <c r="AC166" s="60"/>
      <c r="AD166" s="85"/>
      <c r="AE166" s="85"/>
      <c r="AF166" s="85"/>
      <c r="AG166" s="85"/>
      <c r="AH166" s="85"/>
      <c r="AI166" s="85"/>
      <c r="AJ166" s="85"/>
      <c r="AK166" s="85"/>
      <c r="AL166" s="85"/>
      <c r="AM166" s="85"/>
      <c r="AN166" s="85"/>
      <c r="AO166" s="85"/>
      <c r="AP166" s="85"/>
    </row>
    <row r="167" ht="90.0" customHeight="1">
      <c r="A167" s="29"/>
      <c r="B167" s="102" t="s">
        <v>118</v>
      </c>
      <c r="C167" s="103" t="s">
        <v>576</v>
      </c>
      <c r="D167" s="104" t="s">
        <v>574</v>
      </c>
      <c r="E167" s="104" t="s">
        <v>174</v>
      </c>
      <c r="F167" s="104" t="s">
        <v>538</v>
      </c>
      <c r="G167" s="103" t="s">
        <v>192</v>
      </c>
      <c r="H167" s="105" t="s">
        <v>19</v>
      </c>
      <c r="I167" s="106" t="s">
        <v>577</v>
      </c>
      <c r="J167" s="42" t="str">
        <f>IFERROR(__xludf.DUMMYFUNCTION("GOOGLETRANSLATE(I167,""en"",""pl"")"),"Kamera kopułkowa wewnętrzna IR serii Q, 4 MP @30 kl./s, obiektyw stałoogniskowy 6 mm, H.265/H.264/MJPEG z WiseStream, strumieniowanie wielokrotne, WDR 120 dB, tryb dzienny i nocny (automatyczne ICR), zasięg widzenia w podczerwieni 20 m, wykrywanie ruchu, "&amp;"wykrywanie manipulacji, wykrywanie braku ostrości, widok korytarzowy, jednokierunkowe audio i gniazdo microSD/SDHC/SDXC, obsługa LDC (korekcja zniekształceń obiektywu), PoE/12 V DC")</f>
        <v>Kamera kopułkowa wewnętrzna IR serii Q, 4 MP @30 kl./s, obiektyw stałoogniskowy 6 mm, H.265/H.264/MJPEG z WiseStream, strumieniowanie wielokrotne, WDR 120 dB, tryb dzienny i nocny (automatyczne ICR), zasięg widzenia w podczerwieni 20 m, wykrywanie ruchu, wykrywanie manipulacji, wykrywanie braku ostrości, widok korytarzowy, jednokierunkowe audio i gniazdo microSD/SDHC/SDXC, obsługa LDC (korekcja zniekształceń obiektywu), PoE/12 V DC</v>
      </c>
      <c r="K167" s="100" t="s">
        <v>21</v>
      </c>
      <c r="L167" s="44">
        <v>312.0</v>
      </c>
      <c r="M167" s="8"/>
      <c r="N167" s="45" t="s">
        <v>22</v>
      </c>
      <c r="O167" s="97"/>
      <c r="P167" s="36"/>
      <c r="Q167" s="35"/>
      <c r="R167" s="68"/>
      <c r="S167" s="68"/>
      <c r="T167" s="68"/>
      <c r="U167" s="35"/>
      <c r="V167" s="35"/>
      <c r="W167" s="35"/>
      <c r="X167" s="35"/>
      <c r="Y167" s="35"/>
      <c r="Z167" s="35"/>
      <c r="AA167" s="35"/>
      <c r="AB167" s="35"/>
      <c r="AC167" s="60"/>
      <c r="AD167" s="85"/>
      <c r="AE167" s="85"/>
      <c r="AF167" s="85"/>
      <c r="AG167" s="85"/>
      <c r="AH167" s="85"/>
      <c r="AI167" s="85"/>
      <c r="AJ167" s="85"/>
      <c r="AK167" s="85"/>
      <c r="AL167" s="85"/>
      <c r="AM167" s="85"/>
      <c r="AN167" s="85"/>
      <c r="AO167" s="85"/>
      <c r="AP167" s="85"/>
    </row>
    <row r="168" ht="90.0" customHeight="1">
      <c r="A168" s="29"/>
      <c r="B168" s="38" t="s">
        <v>118</v>
      </c>
      <c r="C168" s="39" t="s">
        <v>578</v>
      </c>
      <c r="D168" s="40" t="s">
        <v>574</v>
      </c>
      <c r="E168" s="40" t="s">
        <v>174</v>
      </c>
      <c r="F168" s="40" t="s">
        <v>538</v>
      </c>
      <c r="G168" s="39" t="s">
        <v>192</v>
      </c>
      <c r="H168" s="41" t="s">
        <v>19</v>
      </c>
      <c r="I168" s="125" t="s">
        <v>579</v>
      </c>
      <c r="J168" s="42" t="str">
        <f>IFERROR(__xludf.DUMMYFUNCTION("GOOGLETRANSLATE(I168,""en"",""pl"")"),"Kamera kopułkowa sieciowa IR serii Q do użytku wewnętrznego, 4 MP @30 kl./s, obiektyw stałoogniskowy 4,0 mm, H.265/H.264/MJPEG z WiseStream, strumieniowanie wielokrotne, WDR 120 dB, True Day &amp; Night (ICR), widoczność podczerwieni 20 m, wykrywanie ruchu, w"&amp;"ykrywanie manipulacji, wykrywanie braku ostrości, widok korytarzowy, jednokierunkowe przesyłanie dźwięku i gniazdo microSD/SDHC/SDXC, obsługa LDC (korekcja zniekształceń obiektywu), PoE/12 V DC; RAL9003")</f>
        <v>Kamera kopułkowa sieciowa IR serii Q do użytku wewnętrznego, 4 MP @30 kl./s, obiektyw stałoogniskowy 4,0 mm, H.265/H.264/MJPEG z WiseStream, strumieniowanie wielokrotne, WDR 120 dB, True Day &amp; Night (ICR), widoczność podczerwieni 20 m, wykrywanie ruchu, wykrywanie manipulacji, wykrywanie braku ostrości, widok korytarzowy, jednokierunkowe przesyłanie dźwięku i gniazdo microSD/SDHC/SDXC, obsługa LDC (korekcja zniekształceń obiektywu), PoE/12 V DC; RAL9003</v>
      </c>
      <c r="K168" s="43" t="s">
        <v>21</v>
      </c>
      <c r="L168" s="44">
        <v>312.0</v>
      </c>
      <c r="M168" s="8"/>
      <c r="N168" s="45" t="s">
        <v>22</v>
      </c>
      <c r="O168" s="97"/>
      <c r="P168" s="36"/>
      <c r="Q168" s="35"/>
      <c r="R168" s="68"/>
      <c r="S168" s="68"/>
      <c r="T168" s="68"/>
      <c r="U168" s="35"/>
      <c r="V168" s="35"/>
      <c r="W168" s="35"/>
      <c r="X168" s="35"/>
      <c r="Y168" s="35"/>
      <c r="Z168" s="35"/>
      <c r="AA168" s="35"/>
      <c r="AB168" s="35"/>
      <c r="AC168" s="60"/>
      <c r="AD168" s="85"/>
      <c r="AE168" s="85"/>
      <c r="AF168" s="85"/>
      <c r="AG168" s="85"/>
      <c r="AH168" s="85"/>
      <c r="AI168" s="85"/>
      <c r="AJ168" s="85"/>
      <c r="AK168" s="85"/>
      <c r="AL168" s="85"/>
      <c r="AM168" s="85"/>
      <c r="AN168" s="85"/>
      <c r="AO168" s="85"/>
      <c r="AP168" s="85"/>
    </row>
    <row r="169" ht="90.0" customHeight="1">
      <c r="A169" s="29"/>
      <c r="B169" s="38" t="s">
        <v>118</v>
      </c>
      <c r="C169" s="39" t="s">
        <v>580</v>
      </c>
      <c r="D169" s="40" t="s">
        <v>574</v>
      </c>
      <c r="E169" s="40" t="s">
        <v>174</v>
      </c>
      <c r="F169" s="40" t="s">
        <v>538</v>
      </c>
      <c r="G169" s="39" t="s">
        <v>192</v>
      </c>
      <c r="H169" s="41" t="s">
        <v>19</v>
      </c>
      <c r="I169" s="125" t="s">
        <v>581</v>
      </c>
      <c r="J169" s="42" t="str">
        <f>IFERROR(__xludf.DUMMYFUNCTION("GOOGLETRANSLATE(I169,""en"",""pl"")"),"Kamera kopułkowa sieciowa IR serii Q do użytku wewnętrznego, 4 MP @30 kl./s, obiektyw stałoogniskowy 2,8 mm (110°), potrójny kodek H.265/H.264/MJPEG z WiseStream, strumieniowanie wielokrotne, WDR 120 dB, True Day &amp; Night (ICR), widoczność podczerwieni 20 "&amp;"m, wykrywanie ruchu, manipulacja, wykrywanie braku ostrości, widok korytarzowy, jednokierunkowy dźwięk i gniazdo microSD/SDHC/SDXC, obsługa LDC (korekcja zniekształceń obiektywu), PoE/12 V DC")</f>
        <v>Kamera kopułkowa sieciowa IR serii Q do użytku wewnętrznego, 4 MP @30 kl./s, obiektyw stałoogniskowy 2,8 mm (110°),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PoE/12 V DC</v>
      </c>
      <c r="K169" s="43" t="s">
        <v>21</v>
      </c>
      <c r="L169" s="44">
        <v>312.0</v>
      </c>
      <c r="M169" s="8"/>
      <c r="N169" s="45" t="s">
        <v>22</v>
      </c>
      <c r="O169" s="97"/>
      <c r="P169" s="36"/>
      <c r="Q169" s="35"/>
      <c r="R169" s="68"/>
      <c r="S169" s="68"/>
      <c r="T169" s="68"/>
      <c r="U169" s="35"/>
      <c r="V169" s="35"/>
      <c r="W169" s="35"/>
      <c r="X169" s="35"/>
      <c r="Y169" s="35"/>
      <c r="Z169" s="35"/>
      <c r="AA169" s="35"/>
      <c r="AB169" s="35"/>
      <c r="AC169" s="60"/>
      <c r="AD169" s="85"/>
      <c r="AE169" s="85"/>
      <c r="AF169" s="85"/>
      <c r="AG169" s="85"/>
      <c r="AH169" s="85"/>
      <c r="AI169" s="85"/>
      <c r="AJ169" s="85"/>
      <c r="AK169" s="85"/>
      <c r="AL169" s="85"/>
      <c r="AM169" s="85"/>
      <c r="AN169" s="85"/>
      <c r="AO169" s="85"/>
      <c r="AP169" s="85"/>
    </row>
    <row r="170" ht="90.0" customHeight="1">
      <c r="A170" s="29"/>
      <c r="B170" s="38" t="s">
        <v>118</v>
      </c>
      <c r="C170" s="39" t="s">
        <v>582</v>
      </c>
      <c r="D170" s="40" t="s">
        <v>583</v>
      </c>
      <c r="E170" s="40" t="s">
        <v>174</v>
      </c>
      <c r="F170" s="40" t="s">
        <v>538</v>
      </c>
      <c r="G170" s="39" t="s">
        <v>184</v>
      </c>
      <c r="H170" s="41" t="s">
        <v>19</v>
      </c>
      <c r="I170" s="125" t="s">
        <v>584</v>
      </c>
      <c r="J170" s="42" t="str">
        <f>IFERROR(__xludf.DUMMYFUNCTION("GOOGLETRANSLATE(I170,""en"",""pl"")"),"Kamera kopułkowa zewnętrzna z serii Q z podczerwienią i zabezpieczeniami przed wandalizmem, 4 MP @30 kl./s, obiektyw zmiennoogniskowy z napędem silnikowym 3,2–10,0 mm (4,3x) (109,7°–26°), potrójny kodek H.265/H.264/MJPEG z funkcją WiseStream, strumieniowa"&amp;"nie wielokrotne, WDR 120 dB, tryb True Day &amp; Night (ICR), widoczność podczerwieni 30 m, wykrywanie ruchu, wykrywanie manipulacji, wykrywanie braku ostrości, widok korytarzowy, jednokierunkowe przesyłanie dźwięku i gniazdo microSD/SDHC/SDXC, obsługa LDC (k"&amp;"orekcja zniekształceń obiektywu), SSNR, IP66, IK10, PoE/12 V DC")</f>
        <v>Kamera kopułkowa zewnętrzna z serii Q z podczerwienią i zabezpieczeniami przed wandalizmem, 4 MP @30 kl./s, obiektyw zmiennoogniskowy z napędem silnikowym 3,2–10,0 mm (4,3x) (109,7°–26°), potrójny kodek H.265/H.264/MJPEG z funkcją WiseStream, strumieniowanie wielokrotne, WDR 120 dB, tryb True Day &amp; Night (ICR), widoczność podczerwieni 30 m, wykrywanie ruchu, wykrywanie manipulacji, wykrywanie braku ostrości, widok korytarzowy, jednokierunkowe przesyłanie dźwięku i gniazdo microSD/SDHC/SDXC, obsługa LDC (korekcja zniekształceń obiektywu), SSNR, IP66, IK10, PoE/12 V DC</v>
      </c>
      <c r="K170" s="43" t="s">
        <v>21</v>
      </c>
      <c r="L170" s="44">
        <v>570.0</v>
      </c>
      <c r="M170" s="8"/>
      <c r="N170" s="45" t="s">
        <v>22</v>
      </c>
      <c r="O170" s="97"/>
      <c r="P170" s="36"/>
      <c r="Q170" s="35"/>
      <c r="R170" s="68"/>
      <c r="S170" s="68"/>
      <c r="T170" s="68"/>
      <c r="U170" s="35"/>
      <c r="V170" s="35"/>
      <c r="W170" s="35"/>
      <c r="X170" s="35"/>
      <c r="Y170" s="35"/>
      <c r="Z170" s="35"/>
      <c r="AA170" s="35"/>
      <c r="AB170" s="35"/>
      <c r="AC170" s="60"/>
      <c r="AD170" s="85"/>
      <c r="AE170" s="85"/>
      <c r="AF170" s="85"/>
      <c r="AG170" s="85"/>
      <c r="AH170" s="85"/>
      <c r="AI170" s="85"/>
      <c r="AJ170" s="85"/>
      <c r="AK170" s="85"/>
      <c r="AL170" s="85"/>
      <c r="AM170" s="85"/>
      <c r="AN170" s="85"/>
      <c r="AO170" s="85"/>
      <c r="AP170" s="85"/>
    </row>
    <row r="171" ht="90.0" customHeight="1">
      <c r="A171" s="29"/>
      <c r="B171" s="38" t="s">
        <v>118</v>
      </c>
      <c r="C171" s="39" t="s">
        <v>585</v>
      </c>
      <c r="D171" s="40" t="s">
        <v>583</v>
      </c>
      <c r="E171" s="40" t="s">
        <v>174</v>
      </c>
      <c r="F171" s="40" t="s">
        <v>538</v>
      </c>
      <c r="G171" s="39" t="s">
        <v>184</v>
      </c>
      <c r="H171" s="41" t="s">
        <v>19</v>
      </c>
      <c r="I171" s="48" t="s">
        <v>586</v>
      </c>
      <c r="J171" s="42" t="str">
        <f>IFERROR(__xludf.DUMMYFUNCTION("GOOGLETRANSLATE(I171,""en"",""pl"")"),"Kamera kopułkowa zewnętrzna z serii Q z IR, chroniąca przed wandalizmem, 4 MP @30 kl./s, obiektyw stałoogniskowy 6 mm, potrójny kodek H.265/H.264/Main/High/MJPEG z WiseStream, strumieniowanie wielokrotne, WDR 120 dB, True Day &amp; Night (ICR), widoczność pod"&amp;"czerwieni 30 m, wykrywanie ruchu, manipulacja, wykrywanie braku ostrości, widok korytarza, dźwięk jednokierunkowy, analityka, rozłączenie sieci, wejście alarmowe i gniazdo microSD/SDHC/SDXC, obsługa LDC (korekcja zniekształceń obiektywu), IP66, IK10, PoE/"&amp;"12 V DC")</f>
        <v>Kamera kopułkowa zewnętrzna z serii Q z IR, chroniąca przed wandalizmem, 4 MP @30 kl./s, obiektyw stałoogniskowy 6 mm, potrójny kodek H.265/H.264/Main/High/MJPEG z WiseStream, strumieniowanie wielokrotne, WDR 120 dB, True Day &amp; Night (ICR), widoczność podczerwieni 30 m, wykrywanie ruchu, manipulacja, wykrywanie braku ostrości, widok korytarza, dźwięk jednokierunkowy, analityka, rozłączenie sieci, wejście alarmowe i gniazdo microSD/SDHC/SDXC, obsługa LDC (korekcja zniekształceń obiektywu), IP66, IK10, PoE/12 V DC</v>
      </c>
      <c r="K171" s="43" t="s">
        <v>21</v>
      </c>
      <c r="L171" s="44">
        <v>360.0</v>
      </c>
      <c r="M171" s="8"/>
      <c r="N171" s="45" t="s">
        <v>22</v>
      </c>
      <c r="O171" s="97"/>
      <c r="P171" s="36"/>
      <c r="Q171" s="9"/>
      <c r="R171" s="59"/>
      <c r="S171" s="59"/>
      <c r="T171" s="59"/>
      <c r="U171" s="9"/>
      <c r="V171" s="9"/>
      <c r="W171" s="9"/>
      <c r="X171" s="9"/>
      <c r="Y171" s="9"/>
      <c r="Z171" s="9"/>
      <c r="AA171" s="9"/>
      <c r="AB171" s="9"/>
      <c r="AC171" s="60"/>
      <c r="AD171" s="85"/>
      <c r="AE171" s="85"/>
      <c r="AF171" s="85"/>
      <c r="AG171" s="85"/>
      <c r="AH171" s="85"/>
      <c r="AI171" s="61"/>
      <c r="AJ171" s="61"/>
      <c r="AK171" s="61"/>
      <c r="AL171" s="85"/>
      <c r="AM171" s="85"/>
      <c r="AN171" s="85"/>
      <c r="AO171" s="85"/>
      <c r="AP171" s="85"/>
    </row>
    <row r="172" ht="90.0" customHeight="1">
      <c r="A172" s="29"/>
      <c r="B172" s="38" t="s">
        <v>118</v>
      </c>
      <c r="C172" s="39" t="s">
        <v>587</v>
      </c>
      <c r="D172" s="40" t="s">
        <v>583</v>
      </c>
      <c r="E172" s="40" t="s">
        <v>174</v>
      </c>
      <c r="F172" s="40" t="s">
        <v>538</v>
      </c>
      <c r="G172" s="39" t="s">
        <v>184</v>
      </c>
      <c r="H172" s="41" t="s">
        <v>19</v>
      </c>
      <c r="I172" s="48" t="s">
        <v>588</v>
      </c>
      <c r="J172" s="42" t="str">
        <f>IFERROR(__xludf.DUMMYFUNCTION("GOOGLETRANSLATE(I172,""en"",""pl"")"),"Kamera kopułkowa zewnętrzna z serii Q z IR, chroniąca przed wandalizmem, 4 MP @30 kl./s, obiektyw stały 4,0 mm (81°), potrójny kodek H.265/H.264/MJPEG z WiseStream, strumieniowanie wielokrotne, WDR 120 dB, True Day &amp; Night (ICR), widoczność podczerwieni 2"&amp;"5 m, wykrywanie ruchu, manipulacja, wykrywanie braku ostrości, widok korytarzowy, jednokierunkowy dźwięk i gniazdo microSD/SDHC/SDXC, obsługa LDC (korekcja zniekształceń obiektywu), IP66, IK10, PoE/12 V DC")</f>
        <v>Kamera kopułkowa zewnętrzna z serii Q z IR, chroniąca przed wandalizmem, 4 MP @30 kl./s, obiektyw stały 4,0 mm (81°), potrójny kodek H.265/H.264/MJPEG z WiseStream, strumieniowanie wielokrotne, WDR 120 dB, True Day &amp; Night (ICR), widoczność podczerwieni 25 m, wykrywanie ruchu, manipulacja, wykrywanie braku ostrości, widok korytarzowy, jednokierunkowy dźwięk i gniazdo microSD/SDHC/SDXC, obsługa LDC (korekcja zniekształceń obiektywu), IP66, IK10, PoE/12 V DC</v>
      </c>
      <c r="K172" s="43" t="s">
        <v>21</v>
      </c>
      <c r="L172" s="44">
        <v>360.0</v>
      </c>
      <c r="M172" s="8"/>
      <c r="N172" s="45" t="s">
        <v>22</v>
      </c>
      <c r="O172" s="97"/>
      <c r="P172" s="36"/>
      <c r="Q172" s="35"/>
      <c r="R172" s="68"/>
      <c r="S172" s="68"/>
      <c r="T172" s="68"/>
      <c r="U172" s="35"/>
      <c r="V172" s="35"/>
      <c r="W172" s="35"/>
      <c r="X172" s="35"/>
      <c r="Y172" s="35"/>
      <c r="Z172" s="35"/>
      <c r="AA172" s="35"/>
      <c r="AB172" s="35"/>
      <c r="AC172" s="60"/>
      <c r="AD172" s="85"/>
      <c r="AE172" s="85"/>
      <c r="AF172" s="85"/>
      <c r="AG172" s="85"/>
      <c r="AH172" s="85"/>
      <c r="AI172" s="85"/>
      <c r="AJ172" s="85"/>
      <c r="AK172" s="85"/>
      <c r="AL172" s="85"/>
      <c r="AM172" s="85"/>
      <c r="AN172" s="85"/>
      <c r="AO172" s="85"/>
      <c r="AP172" s="85"/>
    </row>
    <row r="173" ht="90.0" customHeight="1">
      <c r="A173" s="29"/>
      <c r="B173" s="38" t="s">
        <v>118</v>
      </c>
      <c r="C173" s="39" t="s">
        <v>589</v>
      </c>
      <c r="D173" s="40" t="s">
        <v>583</v>
      </c>
      <c r="E173" s="40" t="s">
        <v>174</v>
      </c>
      <c r="F173" s="40" t="s">
        <v>538</v>
      </c>
      <c r="G173" s="39" t="s">
        <v>184</v>
      </c>
      <c r="H173" s="41" t="s">
        <v>19</v>
      </c>
      <c r="I173" s="48" t="s">
        <v>590</v>
      </c>
      <c r="J173" s="42" t="str">
        <f>IFERROR(__xludf.DUMMYFUNCTION("GOOGLETRANSLATE(I173,""en"",""pl"")"),"Kamera kopułkowa zewnętrzna z serii Q z IR, chroniąca przed wandalizmem, 4 MP @30 kl./s, obiektyw stałoogniskowy 2,8 mm (110°), potrójny kodek H.265/H.264/MJPEG z WiseStream, strumieniowanie wielokrotne, WDR 120 dB, True Day &amp; Night (ICR), widoczność podc"&amp;"zerwieni 20 m, wykrywanie ruchu, manipulacja, wykrywanie braku ostrości, widok korytarzowy, jednokierunkowy dźwięk i gniazdo microSD/SDHC/SDXC, obsługa LDC (korekcja zniekształceń obiektywu), IP66, IK10, PoE/12 V DC")</f>
        <v>Kamera kopułkowa zewnętrzna z serii Q z IR, chroniąca przed wandalizmem, 4 MP @30 kl./s, obiektyw stałoogniskowy 2,8 mm (110°),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IP66, IK10, PoE/12 V DC</v>
      </c>
      <c r="K173" s="43" t="s">
        <v>21</v>
      </c>
      <c r="L173" s="44">
        <v>360.0</v>
      </c>
      <c r="M173" s="8"/>
      <c r="N173" s="45" t="s">
        <v>22</v>
      </c>
      <c r="O173" s="97"/>
      <c r="P173" s="36"/>
      <c r="Q173" s="35"/>
      <c r="R173" s="68"/>
      <c r="S173" s="68"/>
      <c r="T173" s="68"/>
      <c r="U173" s="35"/>
      <c r="V173" s="35"/>
      <c r="W173" s="35"/>
      <c r="X173" s="35"/>
      <c r="Y173" s="35"/>
      <c r="Z173" s="35"/>
      <c r="AA173" s="35"/>
      <c r="AB173" s="35"/>
      <c r="AC173" s="60"/>
      <c r="AD173" s="85"/>
      <c r="AE173" s="85"/>
      <c r="AF173" s="85"/>
      <c r="AG173" s="85"/>
      <c r="AH173" s="85"/>
      <c r="AI173" s="85"/>
      <c r="AJ173" s="85"/>
      <c r="AK173" s="85"/>
      <c r="AL173" s="85"/>
      <c r="AM173" s="85"/>
      <c r="AN173" s="85"/>
      <c r="AO173" s="85"/>
      <c r="AP173" s="85"/>
    </row>
    <row r="174" ht="90.0" customHeight="1">
      <c r="A174" s="29"/>
      <c r="B174" s="102" t="s">
        <v>118</v>
      </c>
      <c r="C174" s="103" t="s">
        <v>591</v>
      </c>
      <c r="D174" s="104" t="s">
        <v>592</v>
      </c>
      <c r="E174" s="104" t="s">
        <v>593</v>
      </c>
      <c r="F174" s="104" t="s">
        <v>538</v>
      </c>
      <c r="G174" s="103" t="s">
        <v>255</v>
      </c>
      <c r="H174" s="105" t="s">
        <v>19</v>
      </c>
      <c r="I174" s="106" t="s">
        <v>594</v>
      </c>
      <c r="J174" s="42" t="str">
        <f>IFERROR(__xludf.DUMMYFUNCTION("GOOGLETRANSLATE(I174,""en"",""pl"")"),"Kamera wieżowa z białym światłem serii A, 4 MP @ 30 FPS, obiektyw o stałej ogniskowej 3 mm, FoV H: 107,7° / V: 59,0°, WiseStream II, potrójny kodek (H.265/H.264/MJPEG), WDR 120 dB, biała dioda LED o zasięgu 20 m (65,62 stopy), migające i stałe ostrzeżenie"&amp;", wirtualny obszar (wtargnięcie/wejście/wyjście), wirtualna linia (przekroczenie/kierunek), wykrywanie ruchu, manipulacja, widok na korytarz, karta SD, IP66, PoE, biały.")</f>
        <v>Kamera wieżowa z białym światłem serii A, 4 MP @ 30 FPS, obiektyw o stałej ogniskowej 3 mm, FoV H: 107,7° / V: 59,0°, WiseStream II, potrójny kodek (H.265/H.264/MJPEG), WDR 120 dB, biała dioda LED o zasięgu 20 m (65,62 stopy), migające i stałe ostrzeżenie, wirtualny obszar (wtargnięcie/wejście/wyjście), wirtualna linia (przekroczenie/kierunek), wykrywanie ruchu, manipulacja, widok na korytarz, karta SD, IP66, PoE, biały.</v>
      </c>
      <c r="K174" s="43" t="s">
        <v>21</v>
      </c>
      <c r="L174" s="44">
        <v>270.0</v>
      </c>
      <c r="M174" s="8"/>
      <c r="N174" s="45" t="s">
        <v>22</v>
      </c>
      <c r="O174" s="97"/>
      <c r="P174" s="36"/>
      <c r="Q174" s="35"/>
      <c r="R174" s="68"/>
      <c r="S174" s="68"/>
      <c r="T174" s="68"/>
      <c r="U174" s="35"/>
      <c r="V174" s="35"/>
      <c r="W174" s="35"/>
      <c r="X174" s="35"/>
      <c r="Y174" s="35"/>
      <c r="Z174" s="35"/>
      <c r="AA174" s="35"/>
      <c r="AB174" s="35"/>
      <c r="AC174" s="60"/>
      <c r="AD174" s="85"/>
      <c r="AE174" s="85"/>
      <c r="AF174" s="85"/>
      <c r="AG174" s="85"/>
      <c r="AH174" s="85"/>
      <c r="AI174" s="85"/>
      <c r="AJ174" s="85"/>
      <c r="AK174" s="85"/>
      <c r="AL174" s="85"/>
      <c r="AM174" s="85"/>
      <c r="AN174" s="85"/>
      <c r="AO174" s="85"/>
      <c r="AP174" s="85"/>
    </row>
    <row r="175" ht="90.0" customHeight="1">
      <c r="A175" s="29"/>
      <c r="B175" s="102" t="s">
        <v>118</v>
      </c>
      <c r="C175" s="103" t="s">
        <v>595</v>
      </c>
      <c r="D175" s="104" t="s">
        <v>596</v>
      </c>
      <c r="E175" s="104" t="s">
        <v>593</v>
      </c>
      <c r="F175" s="104" t="s">
        <v>538</v>
      </c>
      <c r="G175" s="103" t="s">
        <v>255</v>
      </c>
      <c r="H175" s="105" t="s">
        <v>19</v>
      </c>
      <c r="I175" s="106" t="s">
        <v>597</v>
      </c>
      <c r="J175" s="42" t="str">
        <f>IFERROR(__xludf.DUMMYFUNCTION("GOOGLETRANSLATE(I175,""en"",""pl"")"),"Kamera wieżowa serii A, 4 MP @ 30 FPS, obiektyw o stałej ogniskowej 3 mm, WiseStream II, potrójny kodek (H.265/H.264/MJPEG), WDR 120 dB, diody LED IR 20 m (65,62 ft), dzień i noc (ICR), pole widzenia (FoV) H: 98,3° / V: 54,2°, obszar wirtualny (wtargnięci"&amp;"e/wejście/wyjście), wirtualna linia (przekroczenie/kierunek), wykrywanie ruchu, manipulacja, widok na korytarz, karta SD, IP66, PoE, kolor biały.")</f>
        <v>Kamera wieżowa serii A, 4 MP @ 30 FPS, obiektyw o stałej ogniskowej 3 mm, WiseStream II, potrójny kodek (H.265/H.264/MJPEG), WDR 120 dB, diody LED IR 20 m (65,62 ft), dzień i noc (ICR), pole widzenia (FoV) H: 98,3° / V: 54,2°, obszar wirtualny (wtargnięcie/wejście/wyjście), wirtualna linia (przekroczenie/kierunek), wykrywanie ruchu, manipulacja, widok na korytarz, karta SD, IP66, PoE, kolor biały.</v>
      </c>
      <c r="K175" s="43" t="s">
        <v>21</v>
      </c>
      <c r="L175" s="44">
        <v>270.0</v>
      </c>
      <c r="M175" s="8"/>
      <c r="N175" s="45" t="s">
        <v>22</v>
      </c>
      <c r="O175" s="97"/>
      <c r="P175" s="36"/>
      <c r="Q175" s="35"/>
      <c r="R175" s="68"/>
      <c r="S175" s="68"/>
      <c r="T175" s="68"/>
      <c r="U175" s="35"/>
      <c r="V175" s="35"/>
      <c r="W175" s="35"/>
      <c r="X175" s="35"/>
      <c r="Y175" s="35"/>
      <c r="Z175" s="35"/>
      <c r="AA175" s="35"/>
      <c r="AB175" s="35"/>
      <c r="AC175" s="60"/>
      <c r="AD175" s="85"/>
      <c r="AE175" s="85"/>
      <c r="AF175" s="85"/>
      <c r="AG175" s="85"/>
      <c r="AH175" s="85"/>
      <c r="AI175" s="85"/>
      <c r="AJ175" s="85"/>
      <c r="AK175" s="85"/>
      <c r="AL175" s="85"/>
      <c r="AM175" s="85"/>
      <c r="AN175" s="85"/>
      <c r="AO175" s="85"/>
      <c r="AP175" s="85"/>
    </row>
    <row r="176" ht="90.0" customHeight="1">
      <c r="A176" s="29"/>
      <c r="B176" s="102" t="s">
        <v>118</v>
      </c>
      <c r="C176" s="103" t="s">
        <v>598</v>
      </c>
      <c r="D176" s="104" t="s">
        <v>565</v>
      </c>
      <c r="E176" s="104" t="s">
        <v>593</v>
      </c>
      <c r="F176" s="104" t="s">
        <v>538</v>
      </c>
      <c r="G176" s="39" t="s">
        <v>18</v>
      </c>
      <c r="H176" s="105" t="s">
        <v>19</v>
      </c>
      <c r="I176" s="106" t="s">
        <v>599</v>
      </c>
      <c r="J176" s="42" t="str">
        <f>IFERROR(__xludf.DUMMYFUNCTION("GOOGLETRANSLATE(I176,""en"",""pl"")"),"Kamera typu bullet z serii A, 4 MP @ 30 FPS, obiektyw o stałej ogniskowej 3 mm, WiseStream II, potrójny kodek (H.265/H.264/MJPEG), WDR 120 dB, diody LED IR 20 m (65,62 ft), dzień i noc (ICR), pole widzenia H: 98,3° / V: 54,2°, obszar wirtualny (wtargnięci"&amp;"e/wejście/wyjście), wirtualna linia (przekroczenie/kierunek), wykrywanie ruchu, manipulacja, widok na korytarz, karta SD, IP66, PoE, kolor biały.")</f>
        <v>Kamera typu bullet z serii A, 4 MP @ 30 FPS, obiektyw o stałej ogniskowej 3 mm, WiseStream II, potrójny kodek (H.265/H.264/MJPEG), WDR 120 dB, diody LED IR 20 m (65,62 ft), dzień i noc (ICR), pole widzenia H: 98,3° / V: 54,2°, obszar wirtualny (wtargnięcie/wejście/wyjście), wirtualna linia (przekroczenie/kierunek), wykrywanie ruchu, manipulacja, widok na korytarz, karta SD, IP66, PoE, kolor biały.</v>
      </c>
      <c r="K176" s="43" t="s">
        <v>21</v>
      </c>
      <c r="L176" s="44">
        <v>220.0</v>
      </c>
      <c r="M176" s="8"/>
      <c r="N176" s="45" t="s">
        <v>22</v>
      </c>
      <c r="O176" s="97"/>
      <c r="P176" s="36"/>
      <c r="Q176" s="35"/>
      <c r="R176" s="68"/>
      <c r="S176" s="68"/>
      <c r="T176" s="68"/>
      <c r="U176" s="35"/>
      <c r="V176" s="35"/>
      <c r="W176" s="35"/>
      <c r="X176" s="35"/>
      <c r="Y176" s="35"/>
      <c r="Z176" s="35"/>
      <c r="AA176" s="35"/>
      <c r="AB176" s="35"/>
      <c r="AC176" s="60"/>
      <c r="AD176" s="85"/>
      <c r="AE176" s="85"/>
      <c r="AF176" s="85"/>
      <c r="AG176" s="85"/>
      <c r="AH176" s="85"/>
      <c r="AI176" s="85"/>
      <c r="AJ176" s="85"/>
      <c r="AK176" s="85"/>
      <c r="AL176" s="85"/>
      <c r="AM176" s="85"/>
      <c r="AN176" s="85"/>
      <c r="AO176" s="85"/>
      <c r="AP176" s="85"/>
    </row>
    <row r="177" ht="90.0" customHeight="1">
      <c r="A177" s="29"/>
      <c r="B177" s="102" t="s">
        <v>118</v>
      </c>
      <c r="C177" s="103" t="s">
        <v>600</v>
      </c>
      <c r="D177" s="104" t="s">
        <v>565</v>
      </c>
      <c r="E177" s="104" t="s">
        <v>593</v>
      </c>
      <c r="F177" s="104" t="s">
        <v>538</v>
      </c>
      <c r="G177" s="39" t="s">
        <v>18</v>
      </c>
      <c r="H177" s="105" t="s">
        <v>19</v>
      </c>
      <c r="I177" s="106" t="s">
        <v>601</v>
      </c>
      <c r="J177" s="42" t="str">
        <f>IFERROR(__xludf.DUMMYFUNCTION("GOOGLETRANSLATE(I177,""en"",""pl"")"),"Kamera typu bullet z serii A, 4 MP @ 30 FPS, obiektyw stałoogniskowy 4 mm, WiseStreamII, potrójny kodek (H.265/H.264/MJPEG), WDR 120 dB, diody LED IR 25 m (82,02 ft), dzień i noc (ICR), pole widzenia H: 78,3° / V: 42,9°, obszar wirtualny (wtargnięcie/wejś"&amp;"cie/wyjście), wirtualna linia (przekroczenie/kierunek), wykrywanie ruchu, manipulacja, widok na korytarz, karta SD, IP66, PoE, kolor biały.")</f>
        <v>Kamera typu bullet z serii A, 4 MP @ 30 FPS, obiektyw stałoogniskowy 4 mm, WiseStreamII, potrójny kodek (H.265/H.264/MJPEG), WDR 120 dB, diody LED IR 25 m (82,02 ft), dzień i noc (ICR), pole widzenia H: 78,3° / V: 42,9°, obszar wirtualny (wtargnięcie/wejście/wyjście), wirtualna linia (przekroczenie/kierunek), wykrywanie ruchu, manipulacja, widok na korytarz, karta SD, IP66, PoE, kolor biały.</v>
      </c>
      <c r="K177" s="43" t="s">
        <v>21</v>
      </c>
      <c r="L177" s="44">
        <v>220.0</v>
      </c>
      <c r="M177" s="8"/>
      <c r="N177" s="45" t="s">
        <v>22</v>
      </c>
      <c r="O177" s="97"/>
      <c r="P177" s="36"/>
      <c r="Q177" s="35"/>
      <c r="R177" s="68"/>
      <c r="S177" s="68"/>
      <c r="T177" s="68"/>
      <c r="U177" s="35"/>
      <c r="V177" s="35"/>
      <c r="W177" s="35"/>
      <c r="X177" s="35"/>
      <c r="Y177" s="35"/>
      <c r="Z177" s="35"/>
      <c r="AA177" s="35"/>
      <c r="AB177" s="35"/>
      <c r="AC177" s="60"/>
      <c r="AD177" s="85"/>
      <c r="AE177" s="85"/>
      <c r="AF177" s="85"/>
      <c r="AG177" s="85"/>
      <c r="AH177" s="85"/>
      <c r="AI177" s="85"/>
      <c r="AJ177" s="85"/>
      <c r="AK177" s="85"/>
      <c r="AL177" s="85"/>
      <c r="AM177" s="85"/>
      <c r="AN177" s="85"/>
      <c r="AO177" s="85"/>
      <c r="AP177" s="85"/>
    </row>
    <row r="178" ht="90.0" customHeight="1">
      <c r="A178" s="29"/>
      <c r="B178" s="102" t="s">
        <v>118</v>
      </c>
      <c r="C178" s="103" t="s">
        <v>602</v>
      </c>
      <c r="D178" s="104" t="s">
        <v>565</v>
      </c>
      <c r="E178" s="104" t="s">
        <v>593</v>
      </c>
      <c r="F178" s="104" t="s">
        <v>538</v>
      </c>
      <c r="G178" s="39" t="s">
        <v>18</v>
      </c>
      <c r="H178" s="105" t="s">
        <v>19</v>
      </c>
      <c r="I178" s="106" t="s">
        <v>603</v>
      </c>
      <c r="J178" s="42" t="str">
        <f>IFERROR(__xludf.DUMMYFUNCTION("GOOGLETRANSLATE(I178,""en"",""pl"")"),"Kamera typu bullet z serii A, 4 MP @ 30 FPS, obiektyw z napędem silnikowym o zmiennej ogniskowej 3,1x (3,3~10,3 mm) (94,8° ~ 28,1°), WiseStream II, potrójny kodek (H.265/H.264/MJPEG), WDR 120 dB, diody LED IR 30 m (98,43 ft), dzień i noc (ICR), wirtualny "&amp;"obszar (wtargnięcie/wejście/wyjście), wirtualna linia (przekroczenie/kierunek), wykrywanie ruchu, manipulacja, widok na korytarz, karta SD, IP66, PoE, kolor biały.")</f>
        <v>Kamera typu bullet z serii A, 4 MP @ 30 FPS, obiektyw z napędem silnikowym o zmiennej ogniskowej 3,1x (3,3~10,3 mm) (94,8° ~ 28,1°), WiseStream II, potrójny kodek (H.265/H.264/MJPEG), WDR 120 dB, diody LED IR 30 m (98,43 ft), dzień i noc (ICR), wirtualny obszar (wtargnięcie/wejście/wyjście), wirtualna linia (przekroczenie/kierunek), wykrywanie ruchu, manipulacja, widok na korytarz, karta SD, IP66, PoE, kolor biały.</v>
      </c>
      <c r="K178" s="43" t="s">
        <v>21</v>
      </c>
      <c r="L178" s="44">
        <v>300.0</v>
      </c>
      <c r="M178" s="8"/>
      <c r="N178" s="45" t="s">
        <v>22</v>
      </c>
      <c r="O178" s="97"/>
      <c r="P178" s="36"/>
      <c r="Q178" s="35"/>
      <c r="R178" s="68"/>
      <c r="S178" s="68"/>
      <c r="T178" s="68"/>
      <c r="U178" s="35"/>
      <c r="V178" s="35"/>
      <c r="W178" s="35"/>
      <c r="X178" s="35"/>
      <c r="Y178" s="35"/>
      <c r="Z178" s="35"/>
      <c r="AA178" s="35"/>
      <c r="AB178" s="35"/>
      <c r="AC178" s="60"/>
      <c r="AD178" s="85"/>
      <c r="AE178" s="85"/>
      <c r="AF178" s="85"/>
      <c r="AG178" s="85"/>
      <c r="AH178" s="85"/>
      <c r="AI178" s="85"/>
      <c r="AJ178" s="85"/>
      <c r="AK178" s="85"/>
      <c r="AL178" s="85"/>
      <c r="AM178" s="85"/>
      <c r="AN178" s="85"/>
      <c r="AO178" s="85"/>
      <c r="AP178" s="85"/>
    </row>
    <row r="179" ht="90.0" customHeight="1">
      <c r="A179" s="29"/>
      <c r="B179" s="102" t="s">
        <v>118</v>
      </c>
      <c r="C179" s="103" t="s">
        <v>604</v>
      </c>
      <c r="D179" s="104" t="s">
        <v>583</v>
      </c>
      <c r="E179" s="104" t="s">
        <v>593</v>
      </c>
      <c r="F179" s="104" t="s">
        <v>538</v>
      </c>
      <c r="G179" s="39" t="s">
        <v>184</v>
      </c>
      <c r="H179" s="105" t="s">
        <v>19</v>
      </c>
      <c r="I179" s="106" t="s">
        <v>605</v>
      </c>
      <c r="J179" s="42" t="str">
        <f>IFERROR(__xludf.DUMMYFUNCTION("GOOGLETRANSLATE(I179,""en"",""pl"")"),"Zewnętrzna kamera kopułkowa z serii A, zabezpieczona przed wandalizmem, 4 MP @ 30 FPS, obiektyw o stałej ogniskowej 3 mm, WiseStreamII, potrójny kodek (H.265/H.264/MJPEG), WDR 120 dB, diody LED IR 20 m (65,62 ft), dzień i noc (ICR), pole widzenia (FoV) H:"&amp;" 98,3° / V: 54,2°, obszar wirtualny (wtargnięcie/wejście/wyjście), wirtualna linia (przekroczenie/kierunek), wykrywanie ruchu, manipulacja, widok na korytarz, karta SD, IP66, IK10, PoE, kolor biały.")</f>
        <v>Zewnętrzna kamera kopułkowa z serii A, zabezpieczona przed wandalizmem, 4 MP @ 30 FPS, obiektyw o stałej ogniskowej 3 mm, WiseStreamII, potrójny kodek (H.265/H.264/MJPEG), WDR 120 dB, diody LED IR 20 m (65,62 ft), dzień i noc (ICR), pole widzenia (FoV) H: 98,3° / V: 54,2°, obszar wirtualny (wtargnięcie/wejście/wyjście), wirtualna linia (przekroczenie/kierunek), wykrywanie ruchu, manipulacja, widok na korytarz, karta SD, IP66, IK10, PoE, kolor biały.</v>
      </c>
      <c r="K179" s="43" t="s">
        <v>21</v>
      </c>
      <c r="L179" s="44">
        <v>220.0</v>
      </c>
      <c r="M179" s="8"/>
      <c r="N179" s="45" t="s">
        <v>22</v>
      </c>
      <c r="O179" s="97"/>
      <c r="P179" s="36"/>
      <c r="Q179" s="35"/>
      <c r="R179" s="68"/>
      <c r="S179" s="68"/>
      <c r="T179" s="68"/>
      <c r="U179" s="35"/>
      <c r="V179" s="35"/>
      <c r="W179" s="35"/>
      <c r="X179" s="35"/>
      <c r="Y179" s="35"/>
      <c r="Z179" s="35"/>
      <c r="AA179" s="35"/>
      <c r="AB179" s="35"/>
      <c r="AC179" s="60"/>
      <c r="AD179" s="85"/>
      <c r="AE179" s="85"/>
      <c r="AF179" s="85"/>
      <c r="AG179" s="85"/>
      <c r="AH179" s="85"/>
      <c r="AI179" s="85"/>
      <c r="AJ179" s="85"/>
      <c r="AK179" s="85"/>
      <c r="AL179" s="85"/>
      <c r="AM179" s="85"/>
      <c r="AN179" s="85"/>
      <c r="AO179" s="85"/>
      <c r="AP179" s="85"/>
    </row>
    <row r="180" ht="90.0" customHeight="1">
      <c r="A180" s="29"/>
      <c r="B180" s="102" t="s">
        <v>118</v>
      </c>
      <c r="C180" s="103" t="s">
        <v>606</v>
      </c>
      <c r="D180" s="104" t="s">
        <v>583</v>
      </c>
      <c r="E180" s="104" t="s">
        <v>593</v>
      </c>
      <c r="F180" s="104" t="s">
        <v>538</v>
      </c>
      <c r="G180" s="39" t="s">
        <v>184</v>
      </c>
      <c r="H180" s="105" t="s">
        <v>19</v>
      </c>
      <c r="I180" s="106" t="s">
        <v>607</v>
      </c>
      <c r="J180" s="42" t="str">
        <f>IFERROR(__xludf.DUMMYFUNCTION("GOOGLETRANSLATE(I180,""en"",""pl"")"),"Zewnętrzna kamera kopułkowa z zabezpieczeniem przed wandalizmem serii A, 4 MP @ 30 FPS, obiektyw zmiennoogniskowy z napędem silnikowym 3,1x (3,3~10,3 mm) (94,8° ~ 28,1°), WiseStream II, potrójny kodek (H.265/H.264/MJPEG), WDR 120 dB, diody LED IR 30 m (98"&amp;",43 ft), dzień i noc (ICR), wirtualny obszar (wtargnięcie/wejście/wyjście), wirtualna linia (przekroczenie/kierunek), wykrywanie ruchu, manipulacja, widok na korytarz, karta SD, IP66, IK10, PoE, kolor biały.")</f>
        <v>Zewnętrzna kamera kopułkowa z zabezpieczeniem przed wandalizmem serii A, 4 MP @ 30 FPS, obiektyw zmiennoogniskowy z napędem silnikowym 3,1x (3,3~10,3 mm) (94,8° ~ 28,1°), WiseStream II, potrójny kodek (H.265/H.264/MJPEG), WDR 120 dB, diody LED IR 30 m (98,43 ft), dzień i noc (ICR), wirtualny obszar (wtargnięcie/wejście/wyjście), wirtualna linia (przekroczenie/kierunek), wykrywanie ruchu, manipulacja, widok na korytarz, karta SD, IP66, IK10, PoE, kolor biały.</v>
      </c>
      <c r="K180" s="43" t="s">
        <v>21</v>
      </c>
      <c r="L180" s="44">
        <v>300.0</v>
      </c>
      <c r="M180" s="8"/>
      <c r="N180" s="45" t="s">
        <v>22</v>
      </c>
      <c r="O180" s="97"/>
      <c r="P180" s="36"/>
      <c r="Q180" s="35"/>
      <c r="R180" s="68"/>
      <c r="S180" s="68"/>
      <c r="T180" s="68"/>
      <c r="U180" s="35"/>
      <c r="V180" s="35"/>
      <c r="W180" s="35"/>
      <c r="X180" s="35"/>
      <c r="Y180" s="35"/>
      <c r="Z180" s="35"/>
      <c r="AA180" s="35"/>
      <c r="AB180" s="35"/>
      <c r="AC180" s="60"/>
      <c r="AD180" s="85"/>
      <c r="AE180" s="85"/>
      <c r="AF180" s="85"/>
      <c r="AG180" s="85"/>
      <c r="AH180" s="85"/>
      <c r="AI180" s="85"/>
      <c r="AJ180" s="85"/>
      <c r="AK180" s="85"/>
      <c r="AL180" s="85"/>
      <c r="AM180" s="85"/>
      <c r="AN180" s="85"/>
      <c r="AO180" s="85"/>
      <c r="AP180" s="85"/>
    </row>
    <row r="181" ht="30.0" customHeight="1">
      <c r="A181" s="29"/>
      <c r="B181" s="93" t="s">
        <v>608</v>
      </c>
      <c r="C181" s="113"/>
      <c r="D181" s="113"/>
      <c r="E181" s="113"/>
      <c r="F181" s="113"/>
      <c r="G181" s="113"/>
      <c r="H181" s="113"/>
      <c r="I181" s="113"/>
      <c r="J181" s="42" t="str">
        <f>IFERROR(__xludf.DUMMYFUNCTION("GOOGLETRANSLATE(I181,""en"",""pl"")"),"#VALUE!")</f>
        <v>#VALUE!</v>
      </c>
      <c r="K181" s="94"/>
      <c r="L181" s="114"/>
      <c r="M181" s="115"/>
      <c r="N181" s="96"/>
      <c r="O181" s="83"/>
      <c r="P181" s="36"/>
      <c r="Q181" s="35"/>
      <c r="R181" s="68"/>
      <c r="S181" s="68"/>
      <c r="T181" s="68"/>
      <c r="U181" s="35"/>
      <c r="V181" s="35"/>
      <c r="W181" s="35"/>
      <c r="X181" s="35"/>
      <c r="Y181" s="35"/>
      <c r="Z181" s="35"/>
      <c r="AA181" s="35"/>
      <c r="AB181" s="35"/>
      <c r="AC181" s="60"/>
      <c r="AD181" s="85"/>
      <c r="AE181" s="85"/>
      <c r="AF181" s="85"/>
      <c r="AG181" s="85"/>
      <c r="AH181" s="85"/>
      <c r="AI181" s="85"/>
      <c r="AJ181" s="85"/>
      <c r="AK181" s="85"/>
      <c r="AL181" s="85"/>
      <c r="AM181" s="85"/>
      <c r="AN181" s="85"/>
      <c r="AO181" s="85"/>
      <c r="AP181" s="85"/>
    </row>
    <row r="182" ht="46.5" customHeight="1">
      <c r="A182" s="29"/>
      <c r="B182" s="38" t="s">
        <v>118</v>
      </c>
      <c r="C182" s="39" t="s">
        <v>609</v>
      </c>
      <c r="D182" s="40" t="s">
        <v>610</v>
      </c>
      <c r="E182" s="40" t="s">
        <v>16</v>
      </c>
      <c r="F182" s="40" t="s">
        <v>17</v>
      </c>
      <c r="G182" s="39" t="s">
        <v>529</v>
      </c>
      <c r="H182" s="41" t="s">
        <v>19</v>
      </c>
      <c r="I182" s="48" t="s">
        <v>611</v>
      </c>
      <c r="J182" s="42" t="str">
        <f>IFERROR(__xludf.DUMMYFUNCTION("GOOGLETRANSLATE(I182,""en"",""pl"")"),"Kamera sieciowa zewnętrzna z serii T z mocowaniem narożnym AI i funkcją antyligaturowania, 3 MP @30 kl./s, obiektyw stałoogniskowy 2,39 mm, niewidoczna długość fali 940 mm Wise IR 15 m (49,21 stopy), potrójny kodek H.265/H.264/MJPEG z WiseStream III (opar"&amp;"ty na silniku AI), WDR 120 dB, obrót, odbicie lustrzane, widok korytarza (90°/270°), klasyfikowany typ obiektu: osoba/twarz/pojazd/tablica rejestracyjna, obsługa DetectionShot, zdarzenia analityczne oparte na silniku AI - wykrywanie obiektów, wirtualna li"&amp;"nia (przekroczenie/kierunek), wirtualny obszar (włóczęgostwo/wtargnięcie/wejście/wyjście)
Zdarzenia analityczne - wykrywanie utraty ostrości, wykrywanie ruchu, manipulacja, wykrywanie dźwięku, klasyfikacja dźwięku, wirtualny
obszar (pojawianie się/znikani"&amp;"e), wykrywanie koloru ubrań (pomarańczowy/czarny/czerwony, @400 luksów), dźwięk Wejście/wyjście/wbudowany mikrofon, 1 wejście/1 wyjście, gniazdo na kartę pamięci MicroSD/SDHC/SDXC (1 TB), PoE/12 V DC, IP66, IK10+, IP6K9K")</f>
        <v>Kamera sieciowa zewnętrzna z serii T z mocowaniem narożnym AI i funkcją antyligaturowania, 3 MP @30 kl./s, obiektyw stałoogniskowy 2,39 mm, niewidoczna długość fali 940 mm Wise IR 15 m (49,21 stopy), potrójny kodek H.265/H.264/MJPEG z WiseStream III (oparty na silniku AI), WDR 120 dB, obrót, odbicie lustrzane, widok korytarza (90°/270°), klasyfikowany typ obiektu: osoba/twarz/pojazd/tablica rejestracyjna, obsługa DetectionShot, zdarzenia analityczne oparte na silniku AI - wykrywanie obiektów, wirtualna linia (przekroczenie/kierunek), wirtualny obszar (włóczęgostwo/wtargnięcie/wejście/wyjście)
Zdarzenia analityczne - wykrywanie utraty ostrości, wykrywanie ruchu, manipulacja, wykrywanie dźwięku, klasyfikacja dźwięku, wirtualny
obszar (pojawianie się/znikanie), wykrywanie koloru ubrań (pomarańczowy/czarny/czerwony, @400 luksów), dźwięk Wejście/wyjście/wbudowany mikrofon, 1 wejście/1 wyjście, gniazdo na kartę pamięci MicroSD/SDHC/SDXC (1 TB), PoE/12 V DC, IP66, IK10+, IP6K9K</v>
      </c>
      <c r="K182" s="100" t="s">
        <v>21</v>
      </c>
      <c r="L182" s="44">
        <v>1500.0</v>
      </c>
      <c r="M182" s="8"/>
      <c r="N182" s="45" t="s">
        <v>22</v>
      </c>
      <c r="O182" s="97"/>
      <c r="P182" s="36"/>
      <c r="Q182" s="35"/>
      <c r="R182" s="68"/>
      <c r="S182" s="68"/>
      <c r="T182" s="68"/>
      <c r="U182" s="35"/>
      <c r="V182" s="35"/>
      <c r="W182" s="35"/>
      <c r="X182" s="35"/>
      <c r="Y182" s="35"/>
      <c r="Z182" s="35"/>
      <c r="AA182" s="35"/>
      <c r="AB182" s="35"/>
      <c r="AC182" s="60"/>
      <c r="AD182" s="85"/>
      <c r="AE182" s="85"/>
      <c r="AF182" s="85"/>
      <c r="AG182" s="85"/>
      <c r="AH182" s="85"/>
      <c r="AI182" s="85"/>
      <c r="AJ182" s="85"/>
      <c r="AK182" s="85"/>
      <c r="AL182" s="85"/>
      <c r="AM182" s="85"/>
      <c r="AN182" s="85"/>
      <c r="AO182" s="85"/>
      <c r="AP182" s="85"/>
    </row>
    <row r="183" ht="84.75" customHeight="1">
      <c r="A183" s="29"/>
      <c r="B183" s="38" t="s">
        <v>118</v>
      </c>
      <c r="C183" s="39" t="s">
        <v>612</v>
      </c>
      <c r="D183" s="40" t="s">
        <v>613</v>
      </c>
      <c r="E183" s="40" t="s">
        <v>16</v>
      </c>
      <c r="F183" s="40" t="s">
        <v>17</v>
      </c>
      <c r="G183" s="39" t="s">
        <v>18</v>
      </c>
      <c r="H183" s="41" t="s">
        <v>614</v>
      </c>
      <c r="I183" s="48" t="s">
        <v>615</v>
      </c>
      <c r="J183" s="42" t="str">
        <f>IFERROR(__xludf.DUMMYFUNCTION("GOOGLETRANSLATE(I183,""en"",""pl"")"),"Kamera T serii Road AI 3MP o dużej prędkości z globalną migawką, czujnik globalnej migawki 3MP, maksymalnie 55 kl./s przy 3MP i 50 kl./s przy 2MP we wszystkich rozdzielczościach, obiektyw zmiennoogniskowy z napędem silnikowym 6,8~120 mm (18x), WiseIR 50 m"&amp;" (164,04 stopy), wbudowana aplikacja Wisenet Road AI z analizą ANPR i MMCR, rozpoznawanie do 2 pasów ruchu przy prędkościach do 200 km/h (125 mph), zarządzanie listami, inteligentne wyszukiwanie, statystyki, pomoc w instalacji — narzędzie do konfiguracji "&amp;"LPR, kreator konfiguracji Road AI, wyjście wideo USB/CVBS, PoE++, 12 V DC (wtryskiwacz HPoE nie jest dołączony), • IP66, IK10, NEMA 4X, NEMA TS 2")</f>
        <v>Kamera T serii Road AI 3MP o dużej prędkości z globalną migawką, czujnik globalnej migawki 3MP, maksymalnie 55 kl./s przy 3MP i 50 kl./s przy 2MP we wszystkich rozdzielczościach, obiektyw zmiennoogniskowy z napędem silnikowym 6,8~120 mm (18x), WiseIR 50 m (164,04 stopy), wbudowana aplikacja Wisenet Road AI z analizą ANPR i MMCR, rozpoznawanie do 2 pasów ruchu przy prędkościach do 200 km/h (125 mph), zarządzanie listami, inteligentne wyszukiwanie, statystyki, pomoc w instalacji — narzędzie do konfiguracji LPR, kreator konfiguracji Road AI, wyjście wideo USB/CVBS, PoE++, 12 V DC (wtryskiwacz HPoE nie jest dołączony), • IP66, IK10, NEMA 4X, NEMA TS 2</v>
      </c>
      <c r="K183" s="43" t="s">
        <v>21</v>
      </c>
      <c r="L183" s="44">
        <v>4500.0</v>
      </c>
      <c r="M183" s="8"/>
      <c r="N183" s="45" t="s">
        <v>22</v>
      </c>
      <c r="O183" s="97"/>
      <c r="P183" s="36"/>
      <c r="Q183" s="35"/>
      <c r="R183" s="68"/>
      <c r="S183" s="68"/>
      <c r="T183" s="68"/>
      <c r="U183" s="35"/>
      <c r="V183" s="35"/>
      <c r="W183" s="35"/>
      <c r="X183" s="35"/>
      <c r="Y183" s="35"/>
      <c r="Z183" s="35"/>
      <c r="AA183" s="35"/>
      <c r="AB183" s="35"/>
      <c r="AC183" s="60"/>
      <c r="AD183" s="85"/>
      <c r="AE183" s="85"/>
      <c r="AF183" s="85"/>
      <c r="AG183" s="85"/>
      <c r="AH183" s="85"/>
      <c r="AI183" s="85"/>
      <c r="AJ183" s="85"/>
      <c r="AK183" s="85"/>
      <c r="AL183" s="85"/>
      <c r="AM183" s="85"/>
      <c r="AN183" s="85"/>
      <c r="AO183" s="85"/>
      <c r="AP183" s="85"/>
    </row>
    <row r="184" ht="100.5" customHeight="1">
      <c r="A184" s="29"/>
      <c r="B184" s="38" t="s">
        <v>118</v>
      </c>
      <c r="C184" s="39" t="s">
        <v>616</v>
      </c>
      <c r="D184" s="40" t="s">
        <v>617</v>
      </c>
      <c r="E184" s="40" t="s">
        <v>16</v>
      </c>
      <c r="F184" s="40" t="s">
        <v>17</v>
      </c>
      <c r="G184" s="39" t="s">
        <v>529</v>
      </c>
      <c r="H184" s="41" t="s">
        <v>618</v>
      </c>
      <c r="I184" s="48" t="s">
        <v>619</v>
      </c>
      <c r="J184" s="42" t="str">
        <f>IFERROR(__xludf.DUMMYFUNCTION("GOOGLETRANSLATE(I184,""en"",""pl"")"),"Kamera zewnętrzna sieciowa z serii T z mocowaniem narożnym i zabezpieczeniem przed ligaturą, 3 MP @30 kl./s, obiektyw stałoogniskowy 2,8 mm, podczerwień 940 nm, zasięg 10 m, potrójny kodek H.265/H.264/MJPEG z technologią WiseStream II, WDR 120 dB, widok n"&amp;"a korytarz, korekcja zniekształceń obiektywu, cyfrowa stabilizacja obrazu, wbudowana, zaawansowana analiza wideo bez licencji: manipulacja, podchodzenie, wykrywanie kierunkowe, wykrywanie braku ostrości, wykrywanie mgły, wirtualna linia, wejście/wyjście, "&amp;"pojawianie się/znikanie, wykrywanie dźwięku, wykrywanie twarzy, wykrywanie ruchu, cyfrowe automatyczne śledzenie, klasyfikacja dźwięku, wykrywanie wstrząsów, wejście/wyjście audio/wbudowany mikrofon, 1 wejście/1 wyjście, gniazdo karty SD, PoE/12 V DC, IP6"&amp;"6, IK10+, IP6K9K")</f>
        <v>Kamera zewnętrzna sieciowa z serii T z mocowaniem narożnym i zabezpieczeniem przed ligaturą, 3 MP @30 kl./s, obiektyw stałoogniskowy 2,8 mm, podczerwień 940 nm, zasięg 10 m, potrójny kodek H.265/H.264/MJPEG z technologią WiseStream II, WDR 120 dB, widok na korytarz, korekcja zniekształceń obiektywu, cyfrowa stabilizacja obrazu, wbudowana, zaawansowana analiza wideo bez licencji: manipulacja, podchodzenie, wykrywanie kierunkowe, wykrywanie braku ostrości, wykrywanie mgły, wirtualna linia, wejście/wyjście, pojawianie się/znikanie, wykrywanie dźwięku, wykrywanie twarzy, wykrywanie ruchu, cyfrowe automatyczne śledzenie, klasyfikacja dźwięku, wykrywanie wstrząsów, wejście/wyjście audio/wbudowany mikrofon, 1 wejście/1 wyjście, gniazdo karty SD, PoE/12 V DC, IP66, IK10+, IP6K9K</v>
      </c>
      <c r="K184" s="43" t="s">
        <v>21</v>
      </c>
      <c r="L184" s="44">
        <v>1455.0</v>
      </c>
      <c r="M184" s="8"/>
      <c r="N184" s="45" t="s">
        <v>22</v>
      </c>
      <c r="O184" s="97"/>
      <c r="P184" s="35"/>
      <c r="Q184" s="35"/>
      <c r="R184" s="68"/>
      <c r="S184" s="68"/>
      <c r="T184" s="68"/>
      <c r="U184" s="35"/>
      <c r="V184" s="35"/>
      <c r="W184" s="35"/>
      <c r="X184" s="35"/>
      <c r="Y184" s="35"/>
      <c r="Z184" s="35"/>
      <c r="AA184" s="35"/>
      <c r="AB184" s="35"/>
      <c r="AC184" s="101"/>
      <c r="AD184" s="98"/>
      <c r="AE184" s="98"/>
      <c r="AF184" s="98"/>
      <c r="AG184" s="98"/>
      <c r="AH184" s="98"/>
      <c r="AI184" s="98"/>
      <c r="AJ184" s="98"/>
      <c r="AK184" s="98"/>
      <c r="AL184" s="98"/>
      <c r="AM184" s="98"/>
      <c r="AN184" s="98"/>
      <c r="AO184" s="98"/>
      <c r="AP184" s="98"/>
    </row>
    <row r="185" ht="30.0" customHeight="1">
      <c r="A185" s="29"/>
      <c r="B185" s="93" t="s">
        <v>620</v>
      </c>
      <c r="C185" s="113"/>
      <c r="D185" s="113"/>
      <c r="E185" s="113"/>
      <c r="F185" s="113"/>
      <c r="G185" s="113"/>
      <c r="H185" s="113"/>
      <c r="I185" s="113"/>
      <c r="J185" s="42" t="str">
        <f>IFERROR(__xludf.DUMMYFUNCTION("GOOGLETRANSLATE(I185,""en"",""pl"")"),"#VALUE!")</f>
        <v>#VALUE!</v>
      </c>
      <c r="K185" s="94"/>
      <c r="L185" s="114"/>
      <c r="M185" s="115"/>
      <c r="N185" s="96"/>
      <c r="O185" s="83"/>
      <c r="P185" s="36"/>
      <c r="Q185" s="35"/>
      <c r="R185" s="68"/>
      <c r="S185" s="68"/>
      <c r="T185" s="68"/>
      <c r="U185" s="35"/>
      <c r="V185" s="35"/>
      <c r="W185" s="35"/>
      <c r="X185" s="35"/>
      <c r="Y185" s="35"/>
      <c r="Z185" s="35"/>
      <c r="AA185" s="35"/>
      <c r="AB185" s="35"/>
      <c r="AC185" s="60"/>
      <c r="AD185" s="85"/>
      <c r="AE185" s="85"/>
      <c r="AF185" s="85"/>
      <c r="AG185" s="85"/>
      <c r="AH185" s="85"/>
      <c r="AI185" s="85"/>
      <c r="AJ185" s="85"/>
      <c r="AK185" s="85"/>
      <c r="AL185" s="85"/>
      <c r="AM185" s="85"/>
      <c r="AN185" s="85"/>
      <c r="AO185" s="85"/>
      <c r="AP185" s="85"/>
    </row>
    <row r="186" ht="46.5" customHeight="1">
      <c r="A186" s="29"/>
      <c r="B186" s="38" t="s">
        <v>118</v>
      </c>
      <c r="C186" s="39" t="s">
        <v>621</v>
      </c>
      <c r="D186" s="40" t="s">
        <v>622</v>
      </c>
      <c r="E186" s="40" t="s">
        <v>168</v>
      </c>
      <c r="F186" s="40" t="s">
        <v>623</v>
      </c>
      <c r="G186" s="39" t="s">
        <v>18</v>
      </c>
      <c r="H186" s="41" t="s">
        <v>19</v>
      </c>
      <c r="I186" s="42" t="s">
        <v>624</v>
      </c>
      <c r="J186" s="42" t="str">
        <f>IFERROR(__xludf.DUMMYFUNCTION("GOOGLETRANSLATE(I186,""en"",""pl"")"),"Seria X z kamerą zewnętrzną typu bullet, wandaloodporną, zasilaną przez sieć Wisenet 7 AI IR, 2 MP @60 kl./s, Full HD (1080p), obiektyw z zoomem optycznym 5,2–62,4 mm (12x), H.265/H.264/MJPEG z WiseStream III, strumieniowanie wielokrotne, WDR 150 dB, True"&amp;" Day &amp; Night (ICR), diody LED IR o dużej mocy i zasięgu widzenia 90 m, klasyfikowane typy obiektów: osoba/twarz/pojazd/tablica rejestracyjna; atrybuty: pojazd (typ: samochód/autobus/ciężarówka/motocykl/rower); zdarzenia analityczne oparte na silniku AI — "&amp;"wykrywanie obiektów, wirtualna linia (przekroczenie/kierunek), wirtualny obszar (włóczęgostwo/wtargnięcie/wejście/wyjście); zdarzenia analityczne — wykrywanie utraty ostrości, wykrywanie ruchu, manipulacja, wykrywanie mgły, wykrywanie dźwięku, klasyfikacj"&amp;"a dźwięku, wykrywanie wstrząsów,
wirtualny obszar (pojawianie się/znikanie); HLC, przekazywanie PTZ; cyfrowa stabilizacja obrazu z wbudowanym czujnikiem żyroskopowym, gniazdo Micro SD/SDHC/SDXC 2, maks. 1 TB (512 GB * 2), IP66/IP67, IK10, Nema 4X, PoE+/12"&amp;" V DC")</f>
        <v>Seria X z kamerą zewnętrzną typu bullet, wandaloodporną, zasilaną przez sieć Wisenet 7 AI IR, 2 MP @60 kl./s, Full HD (1080p), obiektyw z zoomem optycznym 5,2–62,4 mm (12x), H.265/H.264/MJPEG z WiseStream III, strumieniowanie wielokrotne, WDR 150 dB, True Day &amp; Night (ICR), diody LED IR o dużej mocy i zasięgu widzenia 90 m, klasyfikowane typy obiektów: osoba/twarz/pojazd/tablica rejestracyjna; atrybuty: pojazd (typ: samochód/autobus/ciężarówka/motocykl/rower); zdarzenia analityczne oparte na silniku AI — wykrywanie obiektów, wirtualna linia (przekroczenie/kierunek), wirtualny obszar (włóczęgostwo/wtargnięcie/wejście/wyjście); zdarzenia analityczne — wykrywanie utraty ostrości, wykrywanie ruchu, manipulacja, wykrywanie mgły, wykrywanie dźwięku, klasyfikacja dźwięku, wykrywanie wstrząsów,
wirtualny obszar (pojawianie się/znikanie); HLC, przekazywanie PTZ; cyfrowa stabilizacja obrazu z wbudowanym czujnikiem żyroskopowym, gniazdo Micro SD/SDHC/SDXC 2, maks. 1 TB (512 GB * 2), IP66/IP67, IK10, Nema 4X, PoE+/12 V DC</v>
      </c>
      <c r="K186" s="43" t="s">
        <v>21</v>
      </c>
      <c r="L186" s="44">
        <v>1600.0</v>
      </c>
      <c r="M186" s="8"/>
      <c r="N186" s="45" t="s">
        <v>22</v>
      </c>
      <c r="O186" s="97"/>
      <c r="P186" s="36"/>
      <c r="Q186" s="35"/>
      <c r="R186" s="68"/>
      <c r="S186" s="68"/>
      <c r="T186" s="68"/>
      <c r="U186" s="35"/>
      <c r="V186" s="35"/>
      <c r="W186" s="35"/>
      <c r="X186" s="35"/>
      <c r="Y186" s="35"/>
      <c r="Z186" s="35"/>
      <c r="AA186" s="35"/>
      <c r="AB186" s="35"/>
      <c r="AC186" s="60"/>
      <c r="AD186" s="85"/>
      <c r="AE186" s="85"/>
      <c r="AF186" s="85"/>
      <c r="AG186" s="85"/>
      <c r="AH186" s="85"/>
      <c r="AI186" s="85"/>
      <c r="AJ186" s="85"/>
      <c r="AK186" s="85"/>
      <c r="AL186" s="85"/>
      <c r="AM186" s="85"/>
      <c r="AN186" s="85"/>
      <c r="AO186" s="85"/>
      <c r="AP186" s="85"/>
    </row>
    <row r="187" ht="46.5" customHeight="1">
      <c r="A187" s="29"/>
      <c r="B187" s="38" t="s">
        <v>118</v>
      </c>
      <c r="C187" s="39" t="s">
        <v>625</v>
      </c>
      <c r="D187" s="40" t="s">
        <v>626</v>
      </c>
      <c r="E187" s="40" t="s">
        <v>168</v>
      </c>
      <c r="F187" s="40" t="s">
        <v>623</v>
      </c>
      <c r="G187" s="39" t="s">
        <v>18</v>
      </c>
      <c r="H187" s="41" t="s">
        <v>19</v>
      </c>
      <c r="I187" s="42" t="s">
        <v>627</v>
      </c>
      <c r="J187" s="42" t="str">
        <f>IFERROR(__xludf.DUMMYFUNCTION("GOOGLETRANSLATE(I187,""en"",""pl"")"),"Seria X zasilana przez zewnętrzną kamerę wandaloodporną typu bullet z siecią Wisenet 7 AI, 2 MP @120 kl./s, obiektyw zmiennoogniskowy 2,8~12 mm (4,3x), potrójny kodek H.265/H.264/MJPEG z WiseStream III, strumieniowanie wielokrotne, ekstremalny WDR (150 dB"&amp;"), automatyczny tryb dzień/noc (ICR), widoczna długość podczerwieni 50 m, cyberbezpieczeństwo następnego poziomu, zdarzenia analityczne oparte na silniku AI (NPU): wykrywanie obiektów (osoba/twarz/pojazd — samochód, ciężarówka, autobus, rower, motocykl/ta"&amp;"blica rejestracyjna), IVA (wirtualna linia/obszar, wejście/wyjście, włóczęgostwo, kierunek, wtargnięcie), zdarzenia analityczne: wykrywanie braku ostrości, wykrywanie ruchu, manipulacja, wykrywanie mgły, wykrywanie dźwięku, klasyfikacja dźwięku, wykrywani"&amp;"e wstrząsów, pojawianie się/znikanie, cyfrowa stabilizacja obrazu z wbudowanym czujnikiem żyroskopowym, dwukierunkowy dźwięk i dwie karty microSD/SDHC/SDXC gniazdo, IP66/IP67, IK10, NEMA4X, PoE+/12VDC")</f>
        <v>Seria X zasilana przez zewnętrzną kamerę wandaloodporną typu bullet z siecią Wisenet 7 AI, 2 MP @120 kl./s, obiektyw zmiennoogniskowy 2,8~12 mm (4,3x), potrójny kodek H.265/H.264/MJPEG z WiseStream III, strumieniowanie wielokrotne, ekstremalny WDR (150 dB), automatyczny tryb dzień/noc (ICR), widoczna długość podczerwieni 50 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dwie karty microSD/SDHC/SDXC gniazdo, IP66/IP67, IK10, NEMA4X, PoE+/12VDC</v>
      </c>
      <c r="K187" s="43" t="s">
        <v>21</v>
      </c>
      <c r="L187" s="44">
        <v>1400.0</v>
      </c>
      <c r="M187" s="8"/>
      <c r="N187" s="45" t="s">
        <v>22</v>
      </c>
      <c r="O187" s="97"/>
      <c r="P187" s="36"/>
      <c r="Q187" s="35"/>
      <c r="R187" s="68"/>
      <c r="S187" s="68"/>
      <c r="T187" s="68"/>
      <c r="U187" s="35"/>
      <c r="V187" s="35"/>
      <c r="W187" s="35"/>
      <c r="X187" s="35"/>
      <c r="Y187" s="35"/>
      <c r="Z187" s="35"/>
      <c r="AA187" s="35"/>
      <c r="AB187" s="35"/>
      <c r="AC187" s="60"/>
      <c r="AD187" s="85"/>
      <c r="AE187" s="85"/>
      <c r="AF187" s="85"/>
      <c r="AG187" s="85"/>
      <c r="AH187" s="85"/>
      <c r="AI187" s="85"/>
      <c r="AJ187" s="85"/>
      <c r="AK187" s="85"/>
      <c r="AL187" s="85"/>
      <c r="AM187" s="85"/>
      <c r="AN187" s="85"/>
      <c r="AO187" s="85"/>
      <c r="AP187" s="85"/>
    </row>
    <row r="188" ht="46.5" customHeight="1">
      <c r="A188" s="29"/>
      <c r="B188" s="38" t="s">
        <v>118</v>
      </c>
      <c r="C188" s="39" t="s">
        <v>628</v>
      </c>
      <c r="D188" s="40" t="s">
        <v>629</v>
      </c>
      <c r="E188" s="40" t="s">
        <v>168</v>
      </c>
      <c r="F188" s="40" t="s">
        <v>623</v>
      </c>
      <c r="G188" s="39" t="s">
        <v>184</v>
      </c>
      <c r="H188" s="41" t="s">
        <v>19</v>
      </c>
      <c r="I188" s="48" t="s">
        <v>630</v>
      </c>
      <c r="J188" s="42" t="str">
        <f>IFERROR(__xludf.DUMMYFUNCTION("GOOGLETRANSLATE(I188,""en"",""pl"")"),"Seria X z kamerą kopułkową IR, zewnętrzną, wandaloodporną, zasilaną przez Wisenet 7 AI, 2 MP @60 kl./s, Full HD (1080p), obiektyw z zoomem optycznym 5,2–62,4 mm (12x), H.265/H.264/MJPEG z WiseStream III, strumieniowanie wielokrotne, WDR 150 dB, True Day &amp;"&amp;" Night (ICR), diody LED IR o dużej mocy z widocznością podczerwieni do 90 m, klasyfikowane typy obiektów: osoba/twarz/pojazd/tablica rejestracyjna; atrybuty: pojazd (typ: samochód/autobus/ciężarówka/motocykl/rower); zdarzenia analityczne oparte na silniku"&amp;" AI — detekcja obiektów, wirtualna linia (przekroczenie/kierunek), wirtualny obszar (włóczęgostwo/wtargnięcie/wejście/wyjście); zdarzenia analityczne — detekcja braku ostrości, detekcja ruchu, manipulacja, detekcja mgły, detekcja dźwięku, klasyfikacja dźw"&amp;"ięku, detekcja wstrząsów,
wirtualny obszar (pojawianie się/znikanie); HLC, przekazywanie PTZ; cyfrowa stabilizacja obrazu z wbudowanym czujnikiem żyroskopowym, gniazdo Micro SD/SDHC/SDXC 2, maks. 1 TB (512 GB * 2), IP66/IP67/IP6K9K, NEMA4X, IK10+, PoE+/12"&amp;" V DC")</f>
        <v>Seria X z kamerą kopułkową IR, zewnętrzną, wandaloodporną, zasilaną przez Wisenet 7 AI, 2 MP @60 kl./s, Full HD (1080p), obiektyw z zoomem optycznym 5,2–62,4 mm (12x), H.265/H.264/MJPEG z WiseStream III, strumieniowanie wielokrotne, WDR 150 dB, True Day &amp; Night (ICR), diody LED IR o dużej mocy z widocznością podczerwieni do 90 m, klasyfikowane typy obiektów: osoba/twarz/pojazd/tablica rejestracyjna; atrybuty: pojazd (typ: samochód/autobus/ciężarówka/motocykl/rower); zdarzenia analityczne oparte na silniku AI — detekcja obiektów, wirtualna linia (przekroczenie/kierunek), wirtualny obszar (włóczęgostwo/wtargnięcie/wejście/wyjście); zdarzenia analityczne — detekcja braku ostrości, detekcja ruchu, manipulacja, detekcja mgły, detekcja dźwięku, klasyfikacja dźwięku, detekcja wstrząsów,
wirtualny obszar (pojawianie się/znikanie); HLC, przekazywanie PTZ; cyfrowa stabilizacja obrazu z wbudowanym czujnikiem żyroskopowym, gniazdo Micro SD/SDHC/SDXC 2, maks. 1 TB (512 GB * 2), IP66/IP67/IP6K9K, NEMA4X, IK10+, PoE+/12 V DC</v>
      </c>
      <c r="K188" s="43" t="s">
        <v>21</v>
      </c>
      <c r="L188" s="44">
        <v>1600.0</v>
      </c>
      <c r="M188" s="8"/>
      <c r="N188" s="45" t="s">
        <v>22</v>
      </c>
      <c r="O188" s="97"/>
      <c r="P188" s="36"/>
      <c r="Q188" s="35"/>
      <c r="R188" s="68"/>
      <c r="S188" s="68"/>
      <c r="T188" s="68"/>
      <c r="U188" s="35"/>
      <c r="V188" s="35"/>
      <c r="W188" s="35"/>
      <c r="X188" s="35"/>
      <c r="Y188" s="35"/>
      <c r="Z188" s="35"/>
      <c r="AA188" s="35"/>
      <c r="AB188" s="35"/>
      <c r="AC188" s="60"/>
      <c r="AD188" s="85"/>
      <c r="AE188" s="85"/>
      <c r="AF188" s="85"/>
      <c r="AG188" s="85"/>
      <c r="AH188" s="85"/>
      <c r="AI188" s="85"/>
      <c r="AJ188" s="85"/>
      <c r="AK188" s="85"/>
      <c r="AL188" s="85"/>
      <c r="AM188" s="85"/>
      <c r="AN188" s="85"/>
      <c r="AO188" s="85"/>
      <c r="AP188" s="85"/>
    </row>
    <row r="189" ht="46.5" customHeight="1">
      <c r="A189" s="29"/>
      <c r="B189" s="38" t="s">
        <v>118</v>
      </c>
      <c r="C189" s="39" t="s">
        <v>631</v>
      </c>
      <c r="D189" s="40" t="s">
        <v>632</v>
      </c>
      <c r="E189" s="40" t="s">
        <v>168</v>
      </c>
      <c r="F189" s="40" t="s">
        <v>623</v>
      </c>
      <c r="G189" s="39" t="s">
        <v>184</v>
      </c>
      <c r="H189" s="41" t="s">
        <v>19</v>
      </c>
      <c r="I189" s="48" t="s">
        <v>633</v>
      </c>
      <c r="J189" s="42" t="str">
        <f>IFERROR(__xludf.DUMMYFUNCTION("GOOGLETRANSLATE(I189,""en"",""pl"")"),"Seria X zasilana przez kamerę kopułkową IR z kamerą wandaloodporną Wisenet 7 AI, Modułowa struktura X PLUS, 2MP @120fps, 2,8 ~ 12mm z napędem silnikowym i obiektywem zmiennoogniskowym (4,3x), Kolor 0,01 luksa (F1,4, 1/30 sek., 30IRE), BW 0 luksów (włączon"&amp;"a dioda IR), Widoczna długość podczerwieni: 30 m (98,43 stopy) w zależności od sceny, Dzień i noc (ICR), extremeWDR (150 dB), WiseNRⅡ, WiseStreamⅢ, Zdarzenia analityczne oparte na silniku AI (NPU): wykrywanie obiektów (osoba/twarz/pojazd — samochód, cięża"&amp;"rówka, autobus, rower, motocykl/tablica rejestracyjna), IVA (wirtualna linia/obszar, wejście/wyjście, włóczęgostwo, kierunek, wtargnięcie), Zdarzenia analityczne: wykrywanie braku ostrości, wykrywanie ruchu, manipulacja, wykrywanie mgły, wykrywanie dźwięk"&amp;"u, klasyfikacja dźwięku, Wykrywanie wstrząsów, pojawianie się/znikanie, IP66/IP67/IP6K9K, NEMA4X, IK10+, kopułka z twardą powłoką")</f>
        <v>Seria X zasilana przez kamerę kopułkową IR z kamerą wandaloodporną Wisenet 7 AI, Modułowa struktura X PLUS, 2MP @120fps, 2,8 ~ 12mm z napędem silnikowym i obiektywem zmiennoogniskowym (4,3x), Kolor 0,01 luksa (F1,4, 1/30 sek., 30IRE), BW 0 luksów (włączona dioda IR), Widoczna długość podczerwieni: 30 m (98,43 stopy) w zależności od sceny, Dzień i noc (ICR), extremeWDR (150 dB),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IP66/IP67/IP6K9K, NEMA4X, IK10+, kopułka z twardą powłoką</v>
      </c>
      <c r="K189" s="43" t="s">
        <v>189</v>
      </c>
      <c r="L189" s="44">
        <v>1450.0</v>
      </c>
      <c r="M189" s="8"/>
      <c r="N189" s="45" t="s">
        <v>22</v>
      </c>
      <c r="O189" s="97"/>
      <c r="P189" s="35"/>
      <c r="Q189" s="35"/>
      <c r="R189" s="68"/>
      <c r="S189" s="68"/>
      <c r="T189" s="68"/>
      <c r="U189" s="35"/>
      <c r="V189" s="35"/>
      <c r="W189" s="35"/>
      <c r="X189" s="35"/>
      <c r="Y189" s="35"/>
      <c r="Z189" s="35"/>
      <c r="AA189" s="35"/>
      <c r="AB189" s="35"/>
      <c r="AC189" s="101"/>
      <c r="AD189" s="98"/>
      <c r="AE189" s="98"/>
      <c r="AF189" s="98"/>
      <c r="AG189" s="98"/>
      <c r="AH189" s="98"/>
      <c r="AI189" s="98"/>
      <c r="AJ189" s="98"/>
      <c r="AK189" s="98"/>
      <c r="AL189" s="98"/>
      <c r="AM189" s="98"/>
      <c r="AN189" s="98"/>
      <c r="AO189" s="98"/>
      <c r="AP189" s="98"/>
    </row>
    <row r="190" ht="46.5" customHeight="1">
      <c r="A190" s="29"/>
      <c r="B190" s="38" t="s">
        <v>118</v>
      </c>
      <c r="C190" s="39" t="s">
        <v>634</v>
      </c>
      <c r="D190" s="40" t="s">
        <v>632</v>
      </c>
      <c r="E190" s="40" t="s">
        <v>168</v>
      </c>
      <c r="F190" s="40" t="s">
        <v>623</v>
      </c>
      <c r="G190" s="39" t="s">
        <v>184</v>
      </c>
      <c r="H190" s="41" t="s">
        <v>19</v>
      </c>
      <c r="I190" s="48" t="s">
        <v>635</v>
      </c>
      <c r="J190" s="42" t="str">
        <f>IFERROR(__xludf.DUMMYFUNCTION("GOOGLETRANSLATE(I190,""en"",""pl"")"),"Seria X zasilana przez kamerę kopułkową Wisenet 7 AI IR do użytku na zewnątrz, modułowa konstrukcja X PLUS, 2 MP @120 kl./s, obiektyw zmiennoogniskowy z napędem silnikowym 2,8 ~ 12,0 mm (4,3x) (119,5°~27,9°), potrójny kodek H.265/H.264/MJPEG z WiseStream "&amp;"III, strumieniowanie wielokrotne, WDR 150 dB, True Day &amp; Night (ICR), diody LED IR dużej mocy z widoczną długością podczerwieni 50 m, zdarzenia analityczne oparte na silniku AI (NPU): wykrywanie obiektów (osoba/twarz/pojazd – samochód, ciężarówka, autobus"&amp;", rower, motocykl/tablica rejestracyjna), IVA (wirtualna linia/obszar, wejście/wyjście, wałęsanie się, kierunek, wtargnięcie), zdarzenia analityczne: wykrywanie braku ostrości, wykrywanie ruchu, manipulacja, wykrywanie mgły, HLC, cyfrowa stabilizacja obra"&amp;"zu z żyroskopem czujnik, dwukierunkowy dźwięk i dwa gniazda na karty microSD/SDHC/SDXC, ONVIF S/G/T, port USB ułatwiający instalację, IP67/IP66/IP6K9K, IK10+, Nema 4X, PoE+/12 V DC, w zestawie białe nakładki")</f>
        <v>Seria X zasilana przez kamerę kopułkową Wisenet 7 AI IR do użytku na zewnątrz, modułowa konstrukcja X PLUS, 2 MP @120 kl./s, obiektyw zmiennoogniskowy z napędem silnikowym 2,8 ~ 12,0 mm (4,3x) (119,5°~27,9°), potrójny kodek H.265/H.264/MJPEG z WiseStream III, strumieniowanie wielokrotne, WDR 150 dB, True Day &amp; Night (ICR), diody LED IR dużej mocy z widoczną długością podczerwieni 50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żyroskopem czujnik, dwukierunkowy dźwięk i dwa gniazda na karty microSD/SDHC/SDXC, ONVIF S/G/T, port USB ułatwiający instalację, IP67/IP66/IP6K9K, IK10+, Nema 4X, PoE+/12 V DC, w zestawie białe nakładki</v>
      </c>
      <c r="K190" s="43" t="s">
        <v>21</v>
      </c>
      <c r="L190" s="44">
        <v>1400.0</v>
      </c>
      <c r="M190" s="8"/>
      <c r="N190" s="45" t="s">
        <v>22</v>
      </c>
      <c r="O190" s="97"/>
      <c r="P190" s="36"/>
      <c r="Q190" s="35"/>
      <c r="R190" s="68"/>
      <c r="S190" s="68"/>
      <c r="T190" s="68"/>
      <c r="U190" s="35"/>
      <c r="V190" s="35"/>
      <c r="W190" s="35"/>
      <c r="X190" s="35"/>
      <c r="Y190" s="35"/>
      <c r="Z190" s="35"/>
      <c r="AA190" s="35"/>
      <c r="AB190" s="35"/>
      <c r="AC190" s="60"/>
      <c r="AD190" s="85"/>
      <c r="AE190" s="85"/>
      <c r="AF190" s="85"/>
      <c r="AG190" s="85"/>
      <c r="AH190" s="85"/>
      <c r="AI190" s="85"/>
      <c r="AJ190" s="85"/>
      <c r="AK190" s="85"/>
      <c r="AL190" s="85"/>
      <c r="AM190" s="85"/>
      <c r="AN190" s="85"/>
      <c r="AO190" s="85"/>
      <c r="AP190" s="85"/>
    </row>
    <row r="191" ht="46.5" customHeight="1">
      <c r="A191" s="29"/>
      <c r="B191" s="38" t="s">
        <v>118</v>
      </c>
      <c r="C191" s="39" t="s">
        <v>636</v>
      </c>
      <c r="D191" s="40" t="s">
        <v>637</v>
      </c>
      <c r="E191" s="40" t="s">
        <v>168</v>
      </c>
      <c r="F191" s="40" t="s">
        <v>623</v>
      </c>
      <c r="G191" s="39" t="s">
        <v>184</v>
      </c>
      <c r="H191" s="41" t="s">
        <v>19</v>
      </c>
      <c r="I191" s="48" t="s">
        <v>638</v>
      </c>
      <c r="J191" s="42" t="str">
        <f>IFERROR(__xludf.DUMMYFUNCTION("GOOGLETRANSLATE(I191,""en"",""pl"")"),"Seria X zasilana przez kamerę kopułkową Wisenet 7 AI bez podczerwieni, modułowa struktura X PLUS, 2 MP @120 kl./s, obiektyw zmiennoogniskowy 2,8 ~ 12 mm z napędem silnikowym (4,3x), kolor 0,01 luksa (F1,4, 1/30 sek., 30IRE), BW 0,001 luksa, dzień i noc (I"&amp;"CR), extremeWDR (150 dB), WiseNRⅡ, WiseStreamⅢ, zdarzenia analityczne oparte na silniku AI (NPU): wykrywanie obiektów (osoba/twarz/pojazd — samochód, ciężarówka, autobus, rower, motocykl/tablica rejestracyjna), IVA (wirtualna linia/obszar, wejście/wyjście"&amp;", włóczęgostwo, kierunek, wtargnięcie), zdarzenia analityczne: wykrywanie braku ostrości, wykrywanie ruchu, manipulacja, wykrywanie mgły, wykrywanie dźwięku, klasyfikacja dźwięku, wykrywanie wstrząsów, pojawianie się/znikanie, IP66/IP67/IP6K9K, NEMA4X, IK"&amp;"10+, Kopułka z twardą powłoką")</f>
        <v>Seria X zasilana przez kamerę kopułkową Wisenet 7 AI bez podczerwieni, modułowa struktura X PLUS, 2 MP @120 kl./s, obiektyw zmiennoogniskowy 2,8 ~ 12 mm z napędem silnikowym (4,3x), kolor 0,01 luksa (F1,4, 1/30 sek., 30IRE), BW 0,001 luksa, dzień i noc (ICR), extremeWDR (150 dB),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IP66/IP67/IP6K9K, NEMA4X, IK10+, Kopułka z twardą powłoką</v>
      </c>
      <c r="K191" s="43" t="s">
        <v>189</v>
      </c>
      <c r="L191" s="44">
        <v>1450.0</v>
      </c>
      <c r="M191" s="8"/>
      <c r="N191" s="45" t="s">
        <v>22</v>
      </c>
      <c r="O191" s="97"/>
      <c r="P191" s="35"/>
      <c r="Q191" s="35"/>
      <c r="R191" s="68"/>
      <c r="S191" s="68"/>
      <c r="T191" s="68"/>
      <c r="U191" s="35"/>
      <c r="V191" s="35"/>
      <c r="W191" s="35"/>
      <c r="X191" s="35"/>
      <c r="Y191" s="35"/>
      <c r="Z191" s="35"/>
      <c r="AA191" s="35"/>
      <c r="AB191" s="35"/>
      <c r="AC191" s="60"/>
      <c r="AD191" s="85"/>
      <c r="AE191" s="85"/>
      <c r="AF191" s="85"/>
      <c r="AG191" s="85"/>
      <c r="AH191" s="85"/>
      <c r="AI191" s="98"/>
      <c r="AJ191" s="98"/>
      <c r="AK191" s="98"/>
      <c r="AL191" s="98"/>
      <c r="AM191" s="98"/>
      <c r="AN191" s="98"/>
      <c r="AO191" s="98"/>
      <c r="AP191" s="98"/>
    </row>
    <row r="192" ht="46.5" customHeight="1">
      <c r="A192" s="29"/>
      <c r="B192" s="38" t="s">
        <v>118</v>
      </c>
      <c r="C192" s="39" t="s">
        <v>639</v>
      </c>
      <c r="D192" s="40" t="s">
        <v>640</v>
      </c>
      <c r="E192" s="40" t="s">
        <v>168</v>
      </c>
      <c r="F192" s="40" t="s">
        <v>623</v>
      </c>
      <c r="G192" s="40" t="s">
        <v>192</v>
      </c>
      <c r="H192" s="41" t="s">
        <v>19</v>
      </c>
      <c r="I192" s="42" t="s">
        <v>641</v>
      </c>
      <c r="J192" s="42" t="str">
        <f>IFERROR(__xludf.DUMMYFUNCTION("GOOGLETRANSLATE(I192,""en"",""pl"")"),"Seria X zasilana przez kamerę kopułkową IR do zastosowań wewnętrznych z ochroną przed wandalizmem Wisenet 7 AI, Modułowa struktura X PLUS, 2 MP @60 kl./s, obiektyw zmiennoogniskowy 2,8 ~ 12,0 mm (4,3x) (119,5°~27,9°), potrójny kodek H.265/H.264/MJPEG z Wi"&amp;"seStream II, Wielokrotne strumieniowanie, WDR 150 dB, True Day &amp; Night (ICR), Wysokiej mocy diody LED IR z widoczną długością podczerwieni 50 m, Zdarzenia analityczne oparte na silniku AI (NPU): Wykrywanie obiektów (osoba/twarz/pojazd — samochód, ciężarów"&amp;"ka, autobus, rower, motocykl/tablica rejestracyjna), IVA (wirtualna linia/obszar, wejście/wyjście, włóczęgostwo, kierunek, wtargnięcie), Zdarzenia analityczne: wykrywanie braku ostrości, wykrywanie ruchu, manipulacja, wykrywanie mgły, HLC, cyfrowa stabili"&amp;"zacja obrazu z czujnikiem żyroskopowym, Dwukierunkowy dźwięk i dwa gniazda na karty microSD/SDHC/SDXC, ONVIF S/G/T, port USB ułatwiający instalację, IP52, IK10, PoE+/12 V DC, w zestawie białe nakładki")</f>
        <v>Seria X zasilana przez kamerę kopułkową IR do zastosowań wewnętrznych z ochroną przed wandalizmem Wisenet 7 AI, Modułowa struktura X PLUS, 2 MP @60 kl./s, obiektyw zmiennoogniskowy 2,8 ~ 12,0 mm (4,3x) (119,5°~27,9°), potrójny kodek H.265/H.264/MJPEG z WiseStream II, Wielokrotne strumieniowanie, WDR 150 dB, True Day &amp; Night (ICR), Wysokiej mocy diody LED IR z widoczną długością podczerwieni 50 m,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HLC, cyfrowa stabilizacja obrazu z czujnikiem żyroskopowym, Dwukierunkowy dźwięk i dwa gniazda na karty microSD/SDHC/SDXC, ONVIF S/G/T, port USB ułatwiający instalację, IP52, IK10, PoE+/12 V DC, w zestawie białe nakładki</v>
      </c>
      <c r="K192" s="43" t="s">
        <v>189</v>
      </c>
      <c r="L192" s="44">
        <v>1200.0</v>
      </c>
      <c r="M192" s="8"/>
      <c r="N192" s="45" t="s">
        <v>22</v>
      </c>
      <c r="O192" s="97"/>
      <c r="P192" s="36"/>
      <c r="Q192" s="35"/>
      <c r="R192" s="68"/>
      <c r="S192" s="68"/>
      <c r="T192" s="68"/>
      <c r="U192" s="35"/>
      <c r="V192" s="35"/>
      <c r="W192" s="35"/>
      <c r="X192" s="35"/>
      <c r="Y192" s="35"/>
      <c r="Z192" s="35"/>
      <c r="AA192" s="35"/>
      <c r="AB192" s="35"/>
      <c r="AC192" s="60"/>
      <c r="AD192" s="85"/>
      <c r="AE192" s="85"/>
      <c r="AF192" s="85"/>
      <c r="AG192" s="85"/>
      <c r="AH192" s="85"/>
      <c r="AI192" s="85"/>
      <c r="AJ192" s="85"/>
      <c r="AK192" s="85"/>
      <c r="AL192" s="85"/>
      <c r="AM192" s="85"/>
      <c r="AN192" s="85"/>
      <c r="AO192" s="85"/>
      <c r="AP192" s="85"/>
    </row>
    <row r="193" ht="46.5" customHeight="1">
      <c r="A193" s="29"/>
      <c r="B193" s="38" t="s">
        <v>118</v>
      </c>
      <c r="C193" s="39" t="s">
        <v>642</v>
      </c>
      <c r="D193" s="40" t="s">
        <v>643</v>
      </c>
      <c r="E193" s="40" t="s">
        <v>168</v>
      </c>
      <c r="F193" s="40" t="s">
        <v>623</v>
      </c>
      <c r="G193" s="39" t="s">
        <v>131</v>
      </c>
      <c r="H193" s="41" t="s">
        <v>19</v>
      </c>
      <c r="I193" s="48" t="s">
        <v>644</v>
      </c>
      <c r="J193" s="42" t="str">
        <f>IFERROR(__xludf.DUMMYFUNCTION("GOOGLETRANSLATE(I193,""en"",""pl"")"),"Seria X oparta na kamerze sieciowej Wisenet 7 AI, 1/2,8"" progresywny CMOS, 2MP @120fps, 0,007 luksa przy F1,2 (kolor), 0,0007 luksa przy F1,2 (czarno-biały), 30IRE proste ustawianie ostrości, potrójny kodek H.265/H.264/MJPEG z WiseStream III, strumieniow"&amp;"anie wielokrotne, WDR 150 dB, True Day &amp; Night (ICR), zdarzenia analityczne oparte na silniku AI: wykrywanie obiektów (osoba/twarz/pojazd (samochód/autobus/ciężarówka/motocykl/rower)/tablica rejestracyjna), IVA (wirtualna linia/obszar, wejście/wyjście, wł"&amp;"óczęgostwo, kierunek, pojawianie się/znikanie, wtargnięcie); zdarzenia analityczne: wykrywanie braku ostrości, wykrywanie ruchu, manipulacja, wykrywanie mgły, wykrywanie dźwięku, klasyfikacja dźwięku, wykrywanie wstrząsów, oparte na silniku AI: liczenie o"&amp;"sób, zarządzanie kolejkami, Mapa cieplna, przekazywanie, cyfrowa stabilizacja obrazu ze wbudowanym czujnikiem żyroskopowym, dwukierunkowy dźwięk i dwa gniazda na karty SD/SDHC/SDXC, port USB ułatwiający instalację, PoE/12 V DC ※ Obiektyw nie jest dołączon"&amp;"y")</f>
        <v>Seria X oparta na kamerze sieciowej Wisenet 7 AI, 1/2,8" progresywny CMOS, 2MP @120fps, 0,007 luksa przy F1,2 (kolor), 0,0007 luksa przy F1,2 (czarno-biały), 30IRE proste ustawianie ostrości, potrójny kodek H.265/H.264/MJPEG z WiseStream III, strumieniowanie wielokrotne, WDR 150 dB, True Day &amp; Night (ICR), zdarzenia analityczne oparte na silniku AI: wykrywanie obiektów (osoba/twarz/pojazd (samochód/autobus/ciężarówka/motocykl/rower)/tablica rejestracyjna), IVA (wirtualna linia/obszar, wejście/wyjście, włóczęgostwo, kierunek, pojawianie się/znikanie, wtargnięcie); zdarzenia analityczne: wykrywanie braku ostrości, wykrywanie ruchu, manipulacja, wykrywanie mgły, wykrywanie dźwięku, klasyfikacja dźwięku, wykrywanie wstrząsów, oparte na silniku AI: liczenie osób, zarządzanie kolejkami, Mapa cieplna, przekazywanie, cyfrowa stabilizacja obrazu ze wbudowanym czujnikiem żyroskopowym, dwukierunkowy dźwięk i dwa gniazda na karty SD/SDHC/SDXC, port USB ułatwiający instalację, PoE/12 V DC ※ Obiektyw nie jest dołączony</v>
      </c>
      <c r="K193" s="43" t="s">
        <v>21</v>
      </c>
      <c r="L193" s="44">
        <v>900.0</v>
      </c>
      <c r="M193" s="8"/>
      <c r="N193" s="45" t="s">
        <v>22</v>
      </c>
      <c r="O193" s="97"/>
      <c r="P193" s="36"/>
      <c r="Q193" s="35"/>
      <c r="R193" s="68"/>
      <c r="S193" s="68"/>
      <c r="T193" s="68"/>
      <c r="U193" s="35"/>
      <c r="V193" s="35"/>
      <c r="W193" s="35"/>
      <c r="X193" s="35"/>
      <c r="Y193" s="35"/>
      <c r="Z193" s="35"/>
      <c r="AA193" s="35"/>
      <c r="AB193" s="35"/>
      <c r="AC193" s="60"/>
      <c r="AD193" s="85"/>
      <c r="AE193" s="85"/>
      <c r="AF193" s="85"/>
      <c r="AG193" s="85"/>
      <c r="AH193" s="85"/>
      <c r="AI193" s="85"/>
      <c r="AJ193" s="85"/>
      <c r="AK193" s="85"/>
      <c r="AL193" s="85"/>
      <c r="AM193" s="85"/>
      <c r="AN193" s="85"/>
      <c r="AO193" s="85"/>
      <c r="AP193" s="85"/>
    </row>
    <row r="194" ht="46.5" customHeight="1">
      <c r="A194" s="29"/>
      <c r="B194" s="38" t="s">
        <v>118</v>
      </c>
      <c r="C194" s="39" t="s">
        <v>645</v>
      </c>
      <c r="D194" s="40" t="s">
        <v>626</v>
      </c>
      <c r="E194" s="40" t="s">
        <v>168</v>
      </c>
      <c r="F194" s="40" t="s">
        <v>623</v>
      </c>
      <c r="G194" s="39" t="s">
        <v>18</v>
      </c>
      <c r="H194" s="41" t="s">
        <v>19</v>
      </c>
      <c r="I194" s="42" t="s">
        <v>646</v>
      </c>
      <c r="J194" s="42" t="str">
        <f>IFERROR(__xludf.DUMMYFUNCTION("GOOGLETRANSLATE(I194,""en"",""pl"")"),"Seria X zasilana przez zewnętrzną kamerę wandaloodporną Wisenet 7 AI, 2MP @60fps, obiektyw zmiennoogniskowy 2,8~12 mm (4,3x), potrójny kodek H.265/H.264/MJPEG z WiseStream III, strumieniowanie wielokrotne, ekstremalny WDR (150dB), automatyczny tryb dzień/"&amp;"noc (ICR), widoczna długość podczerwieni 40m, cyberbezpieczeństwo następnego poziomu, zdarzenia analityczne oparte na silniku AI (NPU): wykrywanie obiektów (osoba/twarz/pojazd — samochód, ciężarówka, autobus, rower, motocykl/tablica rejestracyjna), IVA (w"&amp;"irtualna linia/obszar, wejście/wyjście, włóczęgostwo, kierunek, wtargnięcie), zdarzenia analityczne: wykrywanie braku ostrości, wykrywanie ruchu, manipulacja, wykrywanie mgły, wykrywanie dźwięku, klasyfikacja dźwięku, wykrywanie wstrząsów, pojawianie się/"&amp;"znikanie, cyfrowa stabilizacja obrazu z wbudowanym czujnikiem żyroskopowym, dwukierunkowy dźwięk i gniazdo microSD/SDHC/SDXC, IP66/IP67, IK10, NEMA4X, PoE/12 V DC")</f>
        <v>Seria X zasilana przez zewnętrzną kamerę wandaloodporną Wisenet 7 AI, 2MP @60fps, obiektyw zmiennoogniskowy 2,8~12 mm (4,3x), potrójny kodek H.265/H.264/MJPEG z WiseStream III, strumieniowanie wielokrotne, ekstremalny WDR (150dB), automatyczny tryb dzień/noc (ICR), widoczna długość podczerwieni 40m, cyberbezpieczeństwo następnego poziomu,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cyfrowa stabilizacja obrazu z wbudowanym czujnikiem żyroskopowym, dwukierunkowy dźwięk i gniazdo microSD/SDHC/SDXC, IP66/IP67, IK10, NEMA4X, PoE/12 V DC</v>
      </c>
      <c r="K194" s="43" t="s">
        <v>189</v>
      </c>
      <c r="L194" s="44">
        <v>1200.0</v>
      </c>
      <c r="M194" s="8"/>
      <c r="N194" s="45" t="s">
        <v>22</v>
      </c>
      <c r="O194" s="97"/>
      <c r="P194" s="36"/>
      <c r="Q194" s="35"/>
      <c r="R194" s="68"/>
      <c r="S194" s="68"/>
      <c r="T194" s="68"/>
      <c r="U194" s="35"/>
      <c r="V194" s="35"/>
      <c r="W194" s="35"/>
      <c r="X194" s="35"/>
      <c r="Y194" s="35"/>
      <c r="Z194" s="35"/>
      <c r="AA194" s="35"/>
      <c r="AB194" s="35"/>
      <c r="AC194" s="60"/>
      <c r="AD194" s="85"/>
      <c r="AE194" s="85"/>
      <c r="AF194" s="85"/>
      <c r="AG194" s="85"/>
      <c r="AH194" s="85"/>
      <c r="AI194" s="85"/>
      <c r="AJ194" s="85"/>
      <c r="AK194" s="85"/>
      <c r="AL194" s="85"/>
      <c r="AM194" s="85"/>
      <c r="AN194" s="85"/>
      <c r="AO194" s="85"/>
      <c r="AP194" s="85"/>
    </row>
    <row r="195" ht="98.25" customHeight="1">
      <c r="A195" s="29"/>
      <c r="B195" s="38" t="s">
        <v>118</v>
      </c>
      <c r="C195" s="39" t="s">
        <v>647</v>
      </c>
      <c r="D195" s="40" t="s">
        <v>637</v>
      </c>
      <c r="E195" s="40" t="s">
        <v>168</v>
      </c>
      <c r="F195" s="40" t="s">
        <v>623</v>
      </c>
      <c r="G195" s="39" t="s">
        <v>184</v>
      </c>
      <c r="H195" s="41" t="s">
        <v>19</v>
      </c>
      <c r="I195" s="48" t="s">
        <v>648</v>
      </c>
      <c r="J195" s="42" t="str">
        <f>IFERROR(__xludf.DUMMYFUNCTION("GOOGLETRANSLATE(I195,""en"",""pl"")"),"Seria X zasilana przez kamerę kopułkową Wisenet 7 AI bez podczerwieni, modułowa struktura X PLUS, 2 MP @60 kl./s, obiektyw zmiennoogniskowy z napędem silnikowym 2,8 ~ 12 mm (4,3x), kolor 0,01 luksa (F1,4, 1/30 sek., 30IRE), BW 0 luksów, dzień i noc (ICR),"&amp;" extremeWDR (150 dB), DIS ze wbudowanym czujnikiem żyroskopowym, WiseNRⅡ, WiseStreamⅢ, zdarzenia analityczne oparte na silniku AI (NPU): wykrywanie obiektów (osoba/twarz/pojazd — samochód, ciężarówka, autobus, rower, motocykl/tablica rejestracyjna), IVA ("&amp;"wirtualna linia/obszar, wejście/wyjście, włóczęgostwo, kierunek, wtargnięcie), zdarzenia analityczne: wykrywanie braku ostrości, wykrywanie ruchu, manipulacja, wykrywanie mgły, wykrywanie dźwięku, klasyfikacja dźwięku, wykrywanie wstrząsów, pojawianie się"&amp;"/znikanie, IP66/IP67, NEMA4X, IK10, bańka kopułkowa z twardą powłoką")</f>
        <v>Seria X zasilana przez kamerę kopułkową Wisenet 7 AI bez podczerwieni, modułowa struktura X PLUS, 2 MP @60 kl./s, obiektyw zmiennoogniskowy z napędem silnikowym 2,8 ~ 12 mm (4,3x), kolor 0,01 luksa (F1,4, 1/30 sek., 30IRE), BW 0 luksów, dzień i noc (ICR), extremeWDR (150 dB), DIS ze wbudowanym czujnikiem żyroskopowym, WiseNRⅡ, WiseStreamⅢ, zdarzenia analityczne oparte na silniku AI (NPU): wykrywanie obiektów (osoba/twarz/pojazd — samochód, ciężarówka, autobus, rower, motocykl/tablica rejestracyjna), IVA (wirtualna linia/obszar, wejście/wyjście, włóczęgostwo, kierunek, wtargnięcie), zdarzenia analityczne: wykrywanie braku ostrości, wykrywanie ruchu, manipulacja, wykrywanie mgły, wykrywanie dźwięku, klasyfikacja dźwięku, wykrywanie wstrząsów, pojawianie się/znikanie, IP66/IP67, NEMA4X, IK10, bańka kopułkowa z twardą powłoką</v>
      </c>
      <c r="K195" s="43" t="s">
        <v>189</v>
      </c>
      <c r="L195" s="44">
        <v>1200.0</v>
      </c>
      <c r="M195" s="8"/>
      <c r="N195" s="45" t="s">
        <v>22</v>
      </c>
      <c r="O195" s="97"/>
      <c r="P195" s="35"/>
      <c r="Q195" s="35"/>
      <c r="R195" s="68"/>
      <c r="S195" s="68"/>
      <c r="T195" s="68"/>
      <c r="U195" s="35"/>
      <c r="V195" s="35"/>
      <c r="W195" s="35"/>
      <c r="X195" s="35"/>
      <c r="Y195" s="35"/>
      <c r="Z195" s="35"/>
      <c r="AA195" s="35"/>
      <c r="AB195" s="35"/>
      <c r="AC195" s="60"/>
      <c r="AD195" s="85"/>
      <c r="AE195" s="85"/>
      <c r="AF195" s="85"/>
      <c r="AG195" s="85"/>
      <c r="AH195" s="85"/>
      <c r="AI195" s="98"/>
      <c r="AJ195" s="98"/>
      <c r="AK195" s="98"/>
      <c r="AL195" s="98"/>
      <c r="AM195" s="98"/>
      <c r="AN195" s="98"/>
      <c r="AO195" s="98"/>
      <c r="AP195" s="98"/>
    </row>
    <row r="196" ht="46.5" customHeight="1">
      <c r="A196" s="29"/>
      <c r="B196" s="38" t="s">
        <v>118</v>
      </c>
      <c r="C196" s="39" t="s">
        <v>649</v>
      </c>
      <c r="D196" s="40" t="s">
        <v>632</v>
      </c>
      <c r="E196" s="40" t="s">
        <v>168</v>
      </c>
      <c r="F196" s="40" t="s">
        <v>623</v>
      </c>
      <c r="G196" s="39" t="s">
        <v>184</v>
      </c>
      <c r="H196" s="41" t="s">
        <v>19</v>
      </c>
      <c r="I196" s="48" t="s">
        <v>650</v>
      </c>
      <c r="J196" s="42" t="str">
        <f>IFERROR(__xludf.DUMMYFUNCTION("GOOGLETRANSLATE(I196,""en"",""pl"")"),"Seria X zasilana przez zewnętrzną kamerę kopułkową IR Wisenet 7 AI, 2 MP @60 kl./s, obiektyw zmiennoogniskowy z napędem silnikowym 2,8 ~ 12,0 mm (4,3x) (119,5°~27,9°), potrójny kodek H.265/H.264/MJPEG z WiseStream III, strumieniowanie wielokrotne, WDR 150"&amp;" dB, True Day &amp; Night (ICR), diody LED IR o dużej mocy z widoczną długością podczerwieni 40 m, zdarzenia analityczne oparte na silniku AI (NPU): wykrywanie obiektów (osoba/twarz/pojazd – samochód, ciężarówka, autobus, rower, motocykl/tablica rejestracyjna"&amp;"), IVA (wirtualna linia/obszar, wejście/wyjście, wałęsanie się, kierunek, wtargnięcie), zdarzenia analityczne: wykrywanie braku ostrości, wykrywanie ruchu, manipulacja, wykrywanie mgły, HLC, cyfrowa stabilizacja obrazu z czujnikiem żyroskopowym, dwukierun"&amp;"kowy dźwięk i pojedynczy Gniazdo microSD/SDHC/SDXC, ONVIF S/G/T, port USB ułatwiający instalację, IP67/IP66, IK10, Nema 4X, PoE/12 V DC, w zestawie białe nakładki")</f>
        <v>Seria X zasilana przez zewnętrzną kamerę kopułkową IR Wisenet 7 AI, 2 MP @60 kl./s, obiektyw zmiennoogniskowy z napędem silnikowym 2,8 ~ 12,0 mm (4,3x) (119,5°~27,9°), potrójny kodek H.265/H.264/MJPEG z WiseStream III, strumieniowanie wielokrotne, WDR 150 dB, True Day &amp; Night (ICR), diody LED IR o dużej mocy z widoczną długością podczerwieni 40 m, zdarzenia analityczne oparte na silniku AI (NPU): wykrywanie obiektów (osoba/twarz/pojazd – samochód, ciężarówka, autobus, rower, motocykl/tablica rejestracyjna), IVA (wirtualna linia/obszar, wejście/wyjście, wałęsanie się, kierunek, wtargnięcie), zdarzenia analityczne: wykrywanie braku ostrości, wykrywanie ruchu, manipulacja, wykrywanie mgły, HLC, cyfrowa stabilizacja obrazu z czujnikiem żyroskopowym, dwukierunkowy dźwięk i pojedynczy Gniazdo microSD/SDHC/SDXC, ONVIF S/G/T, port USB ułatwiający instalację, IP67/IP66, IK10, Nema 4X, PoE/12 V DC, w zestawie białe nakładki</v>
      </c>
      <c r="K196" s="43" t="s">
        <v>189</v>
      </c>
      <c r="L196" s="44">
        <v>1200.0</v>
      </c>
      <c r="M196" s="8"/>
      <c r="N196" s="45" t="s">
        <v>22</v>
      </c>
      <c r="O196" s="97"/>
      <c r="P196" s="36"/>
      <c r="Q196" s="35"/>
      <c r="R196" s="68"/>
      <c r="S196" s="68"/>
      <c r="T196" s="68"/>
      <c r="U196" s="35"/>
      <c r="V196" s="35"/>
      <c r="W196" s="35"/>
      <c r="X196" s="35"/>
      <c r="Y196" s="35"/>
      <c r="Z196" s="35"/>
      <c r="AA196" s="35"/>
      <c r="AB196" s="35"/>
      <c r="AC196" s="60"/>
      <c r="AD196" s="85"/>
      <c r="AE196" s="85"/>
      <c r="AF196" s="85"/>
      <c r="AG196" s="85"/>
      <c r="AH196" s="85"/>
      <c r="AI196" s="85"/>
      <c r="AJ196" s="85"/>
      <c r="AK196" s="85"/>
      <c r="AL196" s="85"/>
      <c r="AM196" s="85"/>
      <c r="AN196" s="85"/>
      <c r="AO196" s="85"/>
      <c r="AP196" s="85"/>
    </row>
    <row r="197" ht="46.5" customHeight="1">
      <c r="A197" s="29"/>
      <c r="B197" s="38" t="s">
        <v>118</v>
      </c>
      <c r="C197" s="39" t="s">
        <v>651</v>
      </c>
      <c r="D197" s="40" t="s">
        <v>640</v>
      </c>
      <c r="E197" s="40" t="s">
        <v>168</v>
      </c>
      <c r="F197" s="40" t="s">
        <v>623</v>
      </c>
      <c r="G197" s="40" t="s">
        <v>192</v>
      </c>
      <c r="H197" s="41" t="s">
        <v>19</v>
      </c>
      <c r="I197" s="42" t="s">
        <v>652</v>
      </c>
      <c r="J197" s="42" t="str">
        <f>IFERROR(__xludf.DUMMYFUNCTION("GOOGLETRANSLATE(I197,""en"",""pl"")"),"Seria X zasilana przez kamerę kopułkową IR do użytku wewnątrz budynków, zabezpieczoną przed wandalizmem, 2 MP @60 kl./s, obiektyw zmiennoogniskowy 2,8 ~ 12,0 mm z napędem silnikowym (4,3x) (119,5°~27,9°), potrójny kodek H.265/H.264/MJPEG z WiseStream II, "&amp;"strumieniowanie wielokrotne, WDR 150 dB, True Day &amp; Night (ICR), diody LED IR o dużej mocy z widoczną długością podczerwieni 40 m, zdarzenia analityczne oparte na silniku AI (NPU): wykrywanie obiektów (osoby/twarz/pojazdy – samochód, ciężarówka, autobus, "&amp;"rower, motocykl/tablica rejestracyjna), IVA (wirtualna linia/obszar, wejście/wyjście, włóczęgostwo, kierunek, wtargnięcie), zdarzenia analityczne: wykrywanie braku ostrości, wykrywanie ruchu, manipulacja, wykrywanie mgły, HLC, cyfrowa stabilizacja obrazu "&amp;"z czujnikiem żyroskopowym, dwukierunkowy dźwięk i pojedynczy slot microSD/SDHC/SDXC, ONVIF S/G/T, port USB ułatwiający instalację, IP52, IK08, PoE/12 V DC, w zestawie białe nakładki")</f>
        <v>Seria X zasilana przez kamerę kopułkową IR do użytku wewnątrz budynków, zabezpieczoną przed wandalizmem, 2 MP @60 kl./s, obiektyw zmiennoogniskowy 2,8 ~ 12,0 mm z napędem silnikowym (4,3x) (119,5°~27,9°), potrójny kodek H.265/H.264/MJPEG z WiseStream II, strumieniowanie wielokrotne, WDR 150 dB, True Day &amp; Night (ICR), diody LED IR o dużej mocy z widoczną długością podczerwieni 40 m, zdarzenia analityczne oparte na silniku AI (NPU): wykrywanie obiektów (osoby/twarz/pojazdy – samochód, ciężarówka, autobus, rower, motocykl/tablica rejestracyjna), IVA (wirtualna linia/obszar, wejście/wyjście, włóczęgostwo, kierunek, wtargnięcie), zdarzenia analityczne: wykrywanie braku ostrości, wykrywanie ruchu, manipulacja, wykrywanie mgły, HLC, cyfrowa stabilizacja obrazu z czujnikiem żyroskopowym, dwukierunkowy dźwięk i pojedynczy slot microSD/SDHC/SDXC, ONVIF S/G/T, port USB ułatwiający instalację, IP52, IK08, PoE/12 V DC, w zestawie białe nakładki</v>
      </c>
      <c r="K197" s="43" t="s">
        <v>189</v>
      </c>
      <c r="L197" s="44">
        <v>1050.0</v>
      </c>
      <c r="M197" s="8"/>
      <c r="N197" s="45" t="s">
        <v>22</v>
      </c>
      <c r="O197" s="97"/>
      <c r="P197" s="36"/>
      <c r="Q197" s="35"/>
      <c r="R197" s="68"/>
      <c r="S197" s="68"/>
      <c r="T197" s="68"/>
      <c r="U197" s="35"/>
      <c r="V197" s="35"/>
      <c r="W197" s="35"/>
      <c r="X197" s="35"/>
      <c r="Y197" s="35"/>
      <c r="Z197" s="35"/>
      <c r="AA197" s="35"/>
      <c r="AB197" s="35"/>
      <c r="AC197" s="60"/>
      <c r="AD197" s="85"/>
      <c r="AE197" s="85"/>
      <c r="AF197" s="85"/>
      <c r="AG197" s="85"/>
      <c r="AH197" s="85"/>
      <c r="AI197" s="85"/>
      <c r="AJ197" s="85"/>
      <c r="AK197" s="85"/>
      <c r="AL197" s="85"/>
      <c r="AM197" s="85"/>
      <c r="AN197" s="85"/>
      <c r="AO197" s="85"/>
      <c r="AP197" s="85"/>
    </row>
    <row r="198" ht="46.5" customHeight="1">
      <c r="A198" s="29"/>
      <c r="B198" s="38" t="s">
        <v>118</v>
      </c>
      <c r="C198" s="39" t="s">
        <v>653</v>
      </c>
      <c r="D198" s="40" t="s">
        <v>654</v>
      </c>
      <c r="E198" s="40" t="s">
        <v>16</v>
      </c>
      <c r="F198" s="40" t="s">
        <v>623</v>
      </c>
      <c r="G198" s="39" t="s">
        <v>213</v>
      </c>
      <c r="H198" s="41" t="s">
        <v>19</v>
      </c>
      <c r="I198" s="48" t="s">
        <v>655</v>
      </c>
      <c r="J198" s="42" t="str">
        <f>IFERROR(__xludf.DUMMYFUNCTION("GOOGLETRANSLATE(I198,""en"",""pl"")"),"Seria T oparta na technologii Wisenet 9, wytrzymała kamera PTZ z funkcją pozycjonowania AI, rozdzielczość 2 MP przy 30 kl./s, obiektyw z autofokusem 4,75 mm~261,4 mm (55x), adaptacyjny Wise IR (500 m), extremeWDR 120 dB, dzień i noc (ICR), kodek H.265/H.2"&amp;"64/MJPEG, DIS ze wbudowanym czujnikiem żyroskopowym, przekazywanie, WiseStream oparty na sztucznej inteligencji, WiseNR Ⅱ (z wykorzystaniem silnika AI), dynamiczna maska ​​prywatności, zdarzenia IVA oparte na silniku AI: wykrywanie ruchu i obiektów, przek"&amp;"roczenie linii (przekroczenie/kierunek), obszar IVA (włóczęgostwo/wtargnięcie/wejście/wyjście/pojawienie się/zniknięcie), poślizg i upadek, klasyfikowane typy obiektów: (osoba/twarz/pojazd/tablica rejestracyjna), atrybuty obiektów (osoba: płeć/kolor górne"&amp;"j/dolnej części ubrania/torba, twarz: Wiek/Płeć/Maska/Okulary, Pojazd: typ/kolor), BestShot, Zdarzenia analityczne (manipulacja, wykrywanie wstrząsów, wykrywanie dźwięku), Wykrywanie dźwięku, Klasyfikacja dźwięku (z NW I/O box), Automatyczne śledzenie obi"&amp;"ektów AI (osoba/pojazd) ze śledzeniem blokady celu, Bezpieczny element z FIPS 140-3 poziom 3, Wbudowane gniazdo karty microSD (do 1 TB), IP66/IP68, IK10 (z wyjątkiem okna), NEMA 4X, NEMA-TS 2 (2.2.7.2-8, 2.2.8, 2.2.9), MIL-STD-810H ASTM B117, Temperatura "&amp;"pracy: -50°C~+60°C (-58°F~+140°F), Obciążenie wiatrem 258 km/h (160 mph), Zasilanie: HPoE IEEE802.3bt typ 4, Klasa 8 (inżektor PoE nie jest dołączony), Ekranowany metalem RJ-45, biały.")</f>
        <v>Seria T oparta na technologii Wisenet 9, wytrzymała kamera PTZ z funkcją pozycjonowania AI, rozdzielczość 2 MP przy 30 kl./s, obiektyw z autofokusem 4,75 mm~261,4 mm (55x), adaptacyjny Wise IR (500 m), extremeWDR 120 dB, dzień i noc (ICR), kodek H.265/H.264/MJPEG, DIS ze wbudowanym czujnikiem żyroskopowym, przekazywanie, WiseStream oparty na sztucznej inteligencji, WiseNR Ⅱ (z wykorzystaniem silnika AI), dynamiczna maska ​​prywatności, zdarzenia IVA oparte na silniku AI: wykrywanie ruchu i obiektów, przekroczenie linii (przekroczenie/kierunek), obszar IVA (włóczęgostwo/wtargnięcie/wejście/wyjście/pojawienie się/zniknięcie), poślizg i upadek, klasyfikowane typy obiektów: (osoba/twarz/pojazd/tablica rejestracyjna), atrybuty obiektów (osoba: płeć/kolor górnej/dolnej części ubrania/torba, twarz: Wiek/Płeć/Maska/Okulary, Pojazd: typ/kolor), BestShot, Zdarzenia analityczne (manipulacja, wykrywanie wstrząsów, wykrywanie dźwięku), Wykrywanie dźwięku, Klasyfikacja dźwięku (z NW I/O box), Automatyczne śledzenie obiektów AI (osoba/pojazd) ze śledzeniem blokady celu, Bezpieczny element z FIPS 140-3 poziom 3, Wbudowane gniazdo karty microSD (do 1 TB), IP66/IP68, IK10 (z wyjątkiem okna), NEMA 4X, NEMA-TS 2 (2.2.7.2-8, 2.2.8, 2.2.9), MIL-STD-810H ASTM B117, Temperatura pracy: -50°C~+60°C (-58°F~+140°F), Obciążenie wiatrem 258 km/h (160 mph), Zasilanie: HPoE IEEE802.3bt typ 4, Klasa 8 (inżektor PoE nie jest dołączony), Ekranowany metalem RJ-45, biały.</v>
      </c>
      <c r="K198" s="43" t="s">
        <v>21</v>
      </c>
      <c r="L198" s="44">
        <v>6100.0</v>
      </c>
      <c r="M198" s="8"/>
      <c r="N198" s="45" t="s">
        <v>22</v>
      </c>
      <c r="O198" s="97"/>
      <c r="P198" s="36"/>
      <c r="Q198" s="35"/>
      <c r="R198" s="68"/>
      <c r="S198" s="68"/>
      <c r="T198" s="68"/>
      <c r="U198" s="35"/>
      <c r="V198" s="35"/>
      <c r="W198" s="35"/>
      <c r="X198" s="35"/>
      <c r="Y198" s="35"/>
      <c r="Z198" s="35"/>
      <c r="AA198" s="35"/>
      <c r="AB198" s="35"/>
      <c r="AC198" s="60"/>
      <c r="AD198" s="85"/>
      <c r="AE198" s="85"/>
      <c r="AF198" s="85"/>
      <c r="AG198" s="85"/>
      <c r="AH198" s="85"/>
      <c r="AI198" s="85"/>
      <c r="AJ198" s="85"/>
      <c r="AK198" s="85"/>
      <c r="AL198" s="85"/>
      <c r="AM198" s="85"/>
      <c r="AN198" s="85"/>
      <c r="AO198" s="85"/>
      <c r="AP198" s="85"/>
    </row>
    <row r="199" ht="46.5" customHeight="1">
      <c r="A199" s="29"/>
      <c r="B199" s="38" t="s">
        <v>118</v>
      </c>
      <c r="C199" s="39" t="s">
        <v>656</v>
      </c>
      <c r="D199" s="40" t="s">
        <v>657</v>
      </c>
      <c r="E199" s="40" t="s">
        <v>168</v>
      </c>
      <c r="F199" s="40" t="s">
        <v>623</v>
      </c>
      <c r="G199" s="39" t="s">
        <v>213</v>
      </c>
      <c r="H199" s="41" t="s">
        <v>19</v>
      </c>
      <c r="I199" s="48" t="s">
        <v>658</v>
      </c>
      <c r="J199" s="42" t="str">
        <f>IFERROR(__xludf.DUMMYFUNCTION("GOOGLETRANSLATE(I199,""en"",""pl"")"),"Seria X zasilana przez zewnętrzną kamerę PTZ sieciową Wisenet 7 AI, 2 MP @ 60 kl./s, obiektyw z 40-krotnym zoomem optycznym (4,25 ~ 170 mm) (65,66º ~ 1,88º), zakres obrotu bez ograniczeń 60°, prędkość obrotu 500°/sek., pochylenie: -20° ~ 90°, potrójny kod"&amp;"ek H.265/H.264/MJPEG z WiseStream II, strumieniowanie wielokrotne, ekstremalny WDR (150 dB), True Day &amp; Night (ICR), widoczna długość podczerwieni 200 m, zdarzenia analityczne oparte na silniku AI, wykrywanie rozmycia / ruchu / mgły / wstrząsów, manipulac"&amp;"ja, strefa wirtualna, sklasyfikowany obiekt (osoba/twarz/pojazd/tablica rejestracyjna), atrybuty (typ pojazdu), automatyczne śledzenie obiektu (osoba/pojazd), śledzenie blokady celu, cyfrowa stabilizacja obrazu ze wbudowanym żyroskopem Czujnik, 2 gniazda "&amp;"Micro SD/SDHC/SDXC do 1 TB, IP66, IK10, NEMA4X, NEMA-TS2, HPoE, wbudowana wycieraczka
* Wyjścia alarmowe, detekcja dźwięku, klasyfikacja dźwięku (z modułem NW I/O Box, który można kupić osobno)")</f>
        <v>Seria X zasilana przez zewnętrzną kamerę PTZ sieciową Wisenet 7 AI, 2 MP @ 60 kl./s, obiektyw z 40-krotnym zoomem optycznym (4,25 ~ 170 mm) (65,66º ~ 1,88º), zakres obrotu bez ograniczeń 60°, prędkość obrotu 500°/sek., pochylenie: -20° ~ 90°, potrójny kodek H.265/H.264/MJPEG z WiseStream II, strumieniowanie wielokrotne, ekstremalny WDR (150 dB), True Day &amp; Night (ICR), widoczna długość podczerwieni 200 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ze wbudowanym żyroskopem Czujnik, 2 gniazda Micro SD/SDHC/SDXC do 1 TB, IP66, IK10, NEMA4X, NEMA-TS2, HPoE, wbudowana wycieraczka
* Wyjścia alarmowe, detekcja dźwięku, klasyfikacja dźwięku (z modułem NW I/O Box, który można kupić osobno)</v>
      </c>
      <c r="K199" s="107" t="s">
        <v>21</v>
      </c>
      <c r="L199" s="44">
        <v>4100.0</v>
      </c>
      <c r="M199" s="8"/>
      <c r="N199" s="45" t="s">
        <v>22</v>
      </c>
      <c r="O199" s="97"/>
      <c r="P199" s="36"/>
      <c r="Q199" s="35"/>
      <c r="R199" s="68"/>
      <c r="S199" s="68"/>
      <c r="T199" s="68"/>
      <c r="U199" s="35"/>
      <c r="V199" s="35"/>
      <c r="W199" s="35"/>
      <c r="X199" s="35"/>
      <c r="Y199" s="35"/>
      <c r="Z199" s="35"/>
      <c r="AA199" s="35"/>
      <c r="AB199" s="35"/>
      <c r="AC199" s="60"/>
      <c r="AD199" s="85"/>
      <c r="AE199" s="85"/>
      <c r="AF199" s="85"/>
      <c r="AG199" s="85"/>
      <c r="AH199" s="85"/>
      <c r="AI199" s="85"/>
      <c r="AJ199" s="85"/>
      <c r="AK199" s="85"/>
      <c r="AL199" s="85"/>
      <c r="AM199" s="85"/>
      <c r="AN199" s="85"/>
      <c r="AO199" s="85"/>
      <c r="AP199" s="85"/>
    </row>
    <row r="200" ht="46.5" customHeight="1">
      <c r="A200" s="29"/>
      <c r="B200" s="38" t="s">
        <v>118</v>
      </c>
      <c r="C200" s="39" t="s">
        <v>659</v>
      </c>
      <c r="D200" s="40" t="s">
        <v>660</v>
      </c>
      <c r="E200" s="40" t="s">
        <v>168</v>
      </c>
      <c r="F200" s="40" t="s">
        <v>623</v>
      </c>
      <c r="G200" s="39" t="s">
        <v>213</v>
      </c>
      <c r="H200" s="41" t="s">
        <v>19</v>
      </c>
      <c r="I200" s="48" t="s">
        <v>661</v>
      </c>
      <c r="J200" s="42" t="str">
        <f>IFERROR(__xludf.DUMMYFUNCTION("GOOGLETRANSLATE(I200,""en"",""pl"")"),"Seria X zasilana przez zewnętrzną kamerę PTZ sieciową Wisenet 7 AI, 2 MP @ 60 kl./s, obiektyw z 40-krotnym zoomem optycznym (4,25 ~ 170 mm) (65,66º ~ 1,88º), zakres obrotu bez ograniczeń 60°, prędkość obrotu 700°/sek., pochylenie: -20° ~ 90°, potrójny kod"&amp;"ek H.265/H.264/MJPEG z WiseStream II, strumieniowanie wielokrotne, ekstremalny WDR (150 dB), True Day &amp; Night (ICR), widoczna długość podczerwieni 200 m, zdarzenia analityczne oparte na silniku AI, wykrywanie rozmycia / ruchu / mgły / wstrząsów, manipulac"&amp;"ja, strefa wirtualna, sklasyfikowany obiekt (osoba/twarz/pojazd/tablica rejestracyjna), atrybuty (typ pojazdu), automatyczne śledzenie obiektu (osoba/pojazd), śledzenie blokady celu, cyfrowa stabilizacja obrazu ze wbudowanym żyroskopem Czujnik, 2 gniazda "&amp;"Micro SD/SDHC/SDXC do 1 TB, IP66, IK10, NEMA4X, NEMA-TS2, HPoE
* Wyjścia alarmowe, detekcja dźwięku, klasyfikacja dźwięku (z modułem NW I/O, który można kupić osobno)")</f>
        <v>Seria X zasilana przez zewnętrzną kamerę PTZ sieciową Wisenet 7 AI, 2 MP @ 60 kl./s, obiektyw z 40-krotnym zoomem optycznym (4,25 ~ 170 mm) (65,66º ~ 1,88º), zakres obrotu bez ograniczeń 60°, prędkość obrotu 700°/sek., pochylenie: -20° ~ 90°, potrójny kodek H.265/H.264/MJPEG z WiseStream II, strumieniowanie wielokrotne, ekstremalny WDR (150 dB), True Day &amp; Night (ICR), widoczna długość podczerwieni 200 m,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ze wbudowanym żyroskopem Czujnik, 2 gniazda Micro SD/SDHC/SDXC do 1 TB, IP66, IK10, NEMA4X, NEMA-TS2, HPoE
* Wyjścia alarmowe, detekcja dźwięku, klasyfikacja dźwięku (z modułem NW I/O, który można kupić osobno)</v>
      </c>
      <c r="K200" s="107" t="s">
        <v>21</v>
      </c>
      <c r="L200" s="44">
        <v>3800.0</v>
      </c>
      <c r="M200" s="8"/>
      <c r="N200" s="45" t="s">
        <v>22</v>
      </c>
      <c r="O200" s="97"/>
      <c r="P200" s="36"/>
      <c r="Q200" s="35"/>
      <c r="R200" s="68"/>
      <c r="S200" s="68"/>
      <c r="T200" s="68"/>
      <c r="U200" s="35"/>
      <c r="V200" s="35"/>
      <c r="W200" s="35"/>
      <c r="X200" s="35"/>
      <c r="Y200" s="35"/>
      <c r="Z200" s="35"/>
      <c r="AA200" s="35"/>
      <c r="AB200" s="35"/>
      <c r="AC200" s="60"/>
      <c r="AD200" s="85"/>
      <c r="AE200" s="85"/>
      <c r="AF200" s="85"/>
      <c r="AG200" s="85"/>
      <c r="AH200" s="85"/>
      <c r="AI200" s="85"/>
      <c r="AJ200" s="85"/>
      <c r="AK200" s="85"/>
      <c r="AL200" s="85"/>
      <c r="AM200" s="85"/>
      <c r="AN200" s="85"/>
      <c r="AO200" s="85"/>
      <c r="AP200" s="85"/>
    </row>
    <row r="201" ht="46.5" customHeight="1">
      <c r="A201" s="29"/>
      <c r="B201" s="38" t="s">
        <v>118</v>
      </c>
      <c r="C201" s="39" t="s">
        <v>662</v>
      </c>
      <c r="D201" s="40" t="s">
        <v>663</v>
      </c>
      <c r="E201" s="40" t="s">
        <v>168</v>
      </c>
      <c r="F201" s="40" t="s">
        <v>623</v>
      </c>
      <c r="G201" s="39" t="s">
        <v>213</v>
      </c>
      <c r="H201" s="41" t="s">
        <v>19</v>
      </c>
      <c r="I201" s="48" t="s">
        <v>664</v>
      </c>
      <c r="J201" s="42" t="str">
        <f>IFERROR(__xludf.DUMMYFUNCTION("GOOGLETRANSLATE(I201,""en"",""pl"")"),"Seria X zasilana przez zewnętrzną kamerę PTZ sieciową Wisenet 7 AI, 2 MP @ 60 kl./s, obiektyw z 40-krotnym zoomem optycznym (4,25 ~ 170 mm) (65,66º ~ 1,88º), zakres obrotu bez końca 60°, prędkość obrotu 700°/sek., pochylenie: -20° ~ 90°, potrójny kodek H."&amp;"265/H.264/MJPEG z WiseStream II, strumieniowanie wielokrotne, ekstremalny WDR (150 dB), True Day &amp; Night (ICR), zdarzenia analityczne oparte na silniku AI, wykrywanie rozmycia / ruchu / mgły / wstrząsów, manipulacja, strefa wirtualna, sklasyfikowany obiek"&amp;"t (osoba/twarz/pojazd/tablica rejestracyjna), atrybuty (typ pojazdu), automatyczne śledzenie obiektu (osoba/pojazd), śledzenie blokady celu, cyfrowa stabilizacja obrazu z wbudowanym czujnikiem żyroskopowym, 2x Micro Gniazda SD/SDHC/SDXC do 1 TB, IP66, IK1"&amp;"0, NEMA4X, NEMA-TS2, PoE+
* Wyjścia alarmowe, detekcja dźwięku, klasyfikacja dźwięku (z modułem NW I/O, który można kupić osobno)")</f>
        <v>Seria X zasilana przez zewnętrzną kamerę PTZ sieciową Wisenet 7 AI, 2 MP @ 60 kl./s, obiektyw z 40-krotnym zoomem optycznym (4,25 ~ 170 mm) (65,66º ~ 1,88º), zakres obrotu bez końca 60°, prędkość obrotu 700°/sek., pochylenie: -20° ~ 90°, potrójny kodek H.265/H.264/MJPEG z WiseStream II, strumieniowanie wielokrotne, ekstremalny WDR (150 dB), True Day &amp; Night (ICR), zdarzenia analityczne oparte na silniku AI, wykrywanie rozmycia / ruchu / mgły / wstrząsów, manipulacja, strefa wirtualna, sklasyfikowany obiekt (osoba/twarz/pojazd/tablica rejestracyjna), atrybuty (typ pojazdu), automatyczne śledzenie obiektu (osoba/pojazd), śledzenie blokady celu, cyfrowa stabilizacja obrazu z wbudowanym czujnikiem żyroskopowym, 2x Micro Gniazda SD/SDHC/SDXC do 1 TB, IP66, IK10, NEMA4X, NEMA-TS2, PoE+
* Wyjścia alarmowe, detekcja dźwięku, klasyfikacja dźwięku (z modułem NW I/O, który można kupić osobno)</v>
      </c>
      <c r="K201" s="107" t="s">
        <v>21</v>
      </c>
      <c r="L201" s="44">
        <v>3550.0</v>
      </c>
      <c r="M201" s="8"/>
      <c r="N201" s="45" t="s">
        <v>22</v>
      </c>
      <c r="O201" s="97"/>
      <c r="P201" s="36"/>
      <c r="Q201" s="35"/>
      <c r="R201" s="68"/>
      <c r="S201" s="68"/>
      <c r="T201" s="68"/>
      <c r="U201" s="35"/>
      <c r="V201" s="35"/>
      <c r="W201" s="35"/>
      <c r="X201" s="35"/>
      <c r="Y201" s="35"/>
      <c r="Z201" s="35"/>
      <c r="AA201" s="35"/>
      <c r="AB201" s="35"/>
      <c r="AC201" s="60"/>
      <c r="AD201" s="85"/>
      <c r="AE201" s="85"/>
      <c r="AF201" s="85"/>
      <c r="AG201" s="85"/>
      <c r="AH201" s="85"/>
      <c r="AI201" s="85"/>
      <c r="AJ201" s="85"/>
      <c r="AK201" s="85"/>
      <c r="AL201" s="85"/>
      <c r="AM201" s="85"/>
      <c r="AN201" s="85"/>
      <c r="AO201" s="85"/>
      <c r="AP201" s="85"/>
    </row>
    <row r="202" ht="46.5" customHeight="1">
      <c r="A202" s="29"/>
      <c r="B202" s="116" t="s">
        <v>118</v>
      </c>
      <c r="C202" s="117" t="s">
        <v>665</v>
      </c>
      <c r="D202" s="118" t="s">
        <v>626</v>
      </c>
      <c r="E202" s="118" t="s">
        <v>121</v>
      </c>
      <c r="F202" s="118" t="s">
        <v>623</v>
      </c>
      <c r="G202" s="117" t="s">
        <v>18</v>
      </c>
      <c r="H202" s="126" t="s">
        <v>19</v>
      </c>
      <c r="I202" s="119" t="s">
        <v>666</v>
      </c>
      <c r="J202" s="42" t="str">
        <f>IFERROR(__xludf.DUMMYFUNCTION("GOOGLETRANSLATE(I202,""en"",""pl"")"),"Kamera zewnętrzna typu bullet z serii P, sieciowa AI IR 2MP, wandaloodporna, 2MP @120fps, obiektyw zmiennoogniskowy z napędem silnikowym 4,38~9,33 mm (2,13x), potrójny kodek H.265/H.264/MJPEG z WiseStream II, strumieniowanie wielokrotne, WDR 120 dB, True "&amp;"Day &amp; Night (ICR), widoczna długość podczerwieni 40 m, sklasyfikowany typ obiektu: osoba/twarz/pojazd/tablica rejestracyjna z atrybutami, BestShot na obiekt, zdarzenia analityczne oparte na silniku AI: wykrywanie obiektów, wykrywanie maseczki, wykrywanie "&amp;"dystansu społecznego, wykrywanie kierunkowe, cyfrowe śledzenie automatyczne, wejście/wyjście, włóczęgostwo, wirtualna linia, zdarzenia analityczne: wykrywanie braku ostrości, wykrywanie ruchu, pojawianie się/znikanie, manipulacja, wykrywanie dźwięku, klas"&amp;"yfikacja dźwięku, wykrywanie wstrząsów, analityka biznesowa, widok korytarza, dwukierunkowy dźwięk i podwójne gniazdo microSD/SDHC/SDXC, IP66/IP67, IK10+, NEMA4X, PoE+/12 V DC")</f>
        <v>Kamera zewnętrzna typu bullet z serii P, sieciowa AI IR 2MP, wandaloodporna, 2MP @120fps, obiektyw zmiennoogniskowy z napędem silnikowym 4,38~9,33 mm (2,13x), potrójny kodek H.265/H.264/MJPEG z WiseStream II, strumieniowanie wielokrotne, WDR 120 dB, True Day &amp; Night (ICR), widoczna długość podczerwieni 40 m, sklasyfikowany typ obiektu: osoba/twarz/pojazd/tablica rejestracyjna z atrybutami, BestShot na obiekt, zdarzenia analityczne oparte na silniku AI: wykrywanie obiektów, wykrywanie maseczki, wykrywanie dystansu społecznego, wykrywanie kierunkowe, cyfrowe śledzenie automatyczne, wejście/wyjście, włóczęgostwo, wirtualna linia, zdarzenia analityczne: wykrywanie braku ostrości, wykrywanie ruchu, pojawianie się/znikanie, manipulacja, wykrywanie dźwięku, klasyfikacja dźwięku, wykrywanie wstrząsów, analityka biznesowa, widok korytarza, dwukierunkowy dźwięk i podwójne gniazdo microSD/SDHC/SDXC, IP66/IP67, IK10+, NEMA4X, PoE+/12 V DC</v>
      </c>
      <c r="K202" s="120" t="s">
        <v>21</v>
      </c>
      <c r="L202" s="44">
        <v>1570.0</v>
      </c>
      <c r="M202" s="8"/>
      <c r="N202" s="45" t="s">
        <v>22</v>
      </c>
      <c r="O202" s="97"/>
      <c r="P202" s="36"/>
      <c r="Q202" s="35"/>
      <c r="R202" s="68"/>
      <c r="S202" s="68"/>
      <c r="T202" s="68"/>
      <c r="U202" s="35"/>
      <c r="V202" s="35"/>
      <c r="W202" s="35"/>
      <c r="X202" s="35"/>
      <c r="Y202" s="35"/>
      <c r="Z202" s="35"/>
      <c r="AA202" s="35"/>
      <c r="AB202" s="35"/>
      <c r="AC202" s="60"/>
      <c r="AD202" s="85"/>
      <c r="AE202" s="85"/>
      <c r="AF202" s="85"/>
      <c r="AG202" s="85"/>
      <c r="AH202" s="85"/>
      <c r="AI202" s="85"/>
      <c r="AJ202" s="85"/>
      <c r="AK202" s="85"/>
      <c r="AL202" s="85"/>
      <c r="AM202" s="85"/>
      <c r="AN202" s="85"/>
      <c r="AO202" s="85"/>
      <c r="AP202" s="85"/>
    </row>
    <row r="203" ht="46.5" customHeight="1">
      <c r="A203" s="29"/>
      <c r="B203" s="38" t="s">
        <v>118</v>
      </c>
      <c r="C203" s="39" t="s">
        <v>667</v>
      </c>
      <c r="D203" s="40" t="s">
        <v>668</v>
      </c>
      <c r="E203" s="40" t="s">
        <v>121</v>
      </c>
      <c r="F203" s="40" t="s">
        <v>623</v>
      </c>
      <c r="G203" s="39" t="s">
        <v>184</v>
      </c>
      <c r="H203" s="41" t="s">
        <v>19</v>
      </c>
      <c r="I203" s="42" t="s">
        <v>669</v>
      </c>
      <c r="J203" s="42" t="str">
        <f>IFERROR(__xludf.DUMMYFUNCTION("GOOGLETRANSLATE(I203,""en"",""pl"")"),"Kamera kopułkowa zewnętrzna z serii P o rozdzielczości 2 MP AI IR, chroniąca przed wandalizmem, modułowa konstrukcja X PLUS, 2 MP @120 kl./s, obiektyw zmiennoogniskowy z napędem silnikowym 4,38~9,33 mm (2,13x), potrójny kodek H.265/H.264/MJPEG z WiseStrea"&amp;"m II, strumieniowanie wielokrotne, WDR 120 dB, automatyczny tryb dzień/noc (ICR), widoczna długość podczerwieni 40 m, sklasyfikowany typ obiektu: osoba/twarz/pojazd/tablica rejestracyjna z atrybutami, BestShot na obiekt, zdarzenia analityczne oparte na si"&amp;"lniku AI: wykrywanie obiektów, wykrywanie maseczki, wykrywanie dystansu społecznego, wykrywanie kierunkowe, cyfrowe śledzenie automatyczne, wejście/wyjście, włóczęgostwo, linia wirtualna, zdarzenia analityczne: wykrywanie braku ostrości, wykrywanie ruchu,"&amp;" pojawianie się/znikanie, manipulacja, wykrywanie dźwięku, klasyfikacja dźwięku, wykrywanie wstrząsów, analityka biznesowa, widok korytarza, dwukierunkowy dźwięk i podwójne gniazdo microSD/SDHC/SDXC, IP66/IP67/IP6K9K, IK10+, NEMA4X, PoE+/12VDC")</f>
        <v>Kamera kopułkowa zewnętrzna z serii P o rozdzielczości 2 MP AI IR, chroniąca przed wandalizmem, modułowa konstrukcja X PLUS, 2 MP @120 kl./s, obiektyw zmiennoogniskowy z napędem silnikowym 4,38~9,33 mm (2,13x), potrójny kodek H.265/H.264/MJPEG z WiseStream II, strumieniowanie wielokrotne, WDR 120 dB, automatyczny tryb dzień/noc (ICR), widoczna długość podczerwieni 40 m, sklasyfikowany typ obiektu: osoba/twarz/pojazd/tablica rejestracyjna z atrybutami, BestShot na obiekt, zdarzenia analityczne oparte na silniku AI: wykrywanie obiektów, wykrywanie maseczki, wykrywanie dystansu społecznego, wykrywanie kierunkowe, cyfrowe śledzenie automatyczne, wejście/wyjście, włóczęgostwo, linia wirtualna, zdarzenia analityczne: wykrywanie braku ostrości, wykrywanie ruchu, pojawianie się/znikanie, manipulacja, wykrywanie dźwięku, klasyfikacja dźwięku, wykrywanie wstrząsów, analityka biznesowa, widok korytarza, dwukierunkowy dźwięk i podwójne gniazdo microSD/SDHC/SDXC, IP66/IP67/IP6K9K, IK10+, NEMA4X, PoE+/12VDC</v>
      </c>
      <c r="K203" s="43" t="s">
        <v>21</v>
      </c>
      <c r="L203" s="44">
        <v>1670.0</v>
      </c>
      <c r="M203" s="8"/>
      <c r="N203" s="45" t="s">
        <v>22</v>
      </c>
      <c r="O203" s="97"/>
      <c r="P203" s="36"/>
      <c r="Q203" s="35"/>
      <c r="R203" s="68"/>
      <c r="S203" s="68"/>
      <c r="T203" s="68"/>
      <c r="U203" s="35"/>
      <c r="V203" s="35"/>
      <c r="W203" s="35"/>
      <c r="X203" s="35"/>
      <c r="Y203" s="35"/>
      <c r="Z203" s="35"/>
      <c r="AA203" s="35"/>
      <c r="AB203" s="35"/>
      <c r="AC203" s="60"/>
      <c r="AD203" s="85"/>
      <c r="AE203" s="85"/>
      <c r="AF203" s="85"/>
      <c r="AG203" s="85"/>
      <c r="AH203" s="85"/>
      <c r="AI203" s="85"/>
      <c r="AJ203" s="85"/>
      <c r="AK203" s="85"/>
      <c r="AL203" s="85"/>
      <c r="AM203" s="85"/>
      <c r="AN203" s="85"/>
      <c r="AO203" s="85"/>
      <c r="AP203" s="85"/>
    </row>
    <row r="204" ht="46.5" customHeight="1">
      <c r="A204" s="29"/>
      <c r="B204" s="38" t="s">
        <v>118</v>
      </c>
      <c r="C204" s="99" t="s">
        <v>670</v>
      </c>
      <c r="D204" s="40" t="s">
        <v>671</v>
      </c>
      <c r="E204" s="40" t="s">
        <v>121</v>
      </c>
      <c r="F204" s="40" t="s">
        <v>623</v>
      </c>
      <c r="G204" s="39" t="s">
        <v>192</v>
      </c>
      <c r="H204" s="41" t="s">
        <v>19</v>
      </c>
      <c r="I204" s="42" t="s">
        <v>672</v>
      </c>
      <c r="J204" s="42" t="str">
        <f>IFERROR(__xludf.DUMMYFUNCTION("GOOGLETRANSLATE(I204,""en"",""pl"")"),"Seria P sieciowa kamera kopułkowa 2MP AI IR do użytku wewnątrz pomieszczeń, Modułowa struktura X PLUS, 2MP @120fps, obiektyw zmiennoogniskowy 4,38~9,33 mm (2,13x), potrójny kodek H.265/H.264/MJPEG z WiseStream II, WiseStream III, strumieniowanie wielokrot"&amp;"ne, WDR 120 dB, Automatyczny tryb dzień/noc (ICR), widoczna długość podczerwieni 40 m, Sklasyfikowany typ obiektu: Osoba/Twarz/Pojazd/Tablica rejestracyjna z atrybutami, BestShot na obiekt, Zdarzenia analityczne oparte na silniku AI: Wykrywanie obiektów, "&amp;"Wykrywanie maseczki, Wykrywanie dystansu społecznego, Wykrywanie kierunkowe, Cyfrowe automatyczne śledzenie, Wejście/Wyjście, Włóczęgostwo, Linia wirtualna, Zdarzenia analityczne: Wykrywanie braku ostrości, Wykrywanie ruchu, Pojawianie się/Znikanie, Manip"&amp;"ulacja, Wykrywanie dźwięku, Klasyfikacja dźwięku, Wykrywanie wstrząsów, Analityka biznesowa, Widok korytarza, Dźwięk dwukierunkowy i podwójny Gniazdo microSD/SDHC/SDXC, IP52, IK10, PoE+/12 V DC")</f>
        <v>Seria P sieciowa kamera kopułkowa 2MP AI IR do użytku wewnątrz pomieszczeń, Modułowa struktura X PLUS, 2MP @120fps, obiektyw zmiennoogniskowy 4,38~9,33 mm (2,13x), potrójny kodek H.265/H.264/MJPEG z WiseStream II, WiseStream III, strumieniowanie wielokrotne, WDR 120 dB, Automatyczny tryb dzień/noc (ICR), widoczna długość podczerwieni 40 m, Sklasyfikowany typ obiektu: Osoba/Twarz/Pojazd/Tablica rejestracyjna z atrybutami, BestShot na obiekt, Zdarzenia analityczne oparte na silniku AI: Wykrywanie obiektów, Wykrywanie maseczki, Wykrywanie dystansu społecznego, Wykrywanie kierunkowe, Cyfrowe automatyczne śledzenie, Wejście/Wyjście, Włóczęgostwo, Linia wirtualna, Zdarzenia analityczne: Wykrywanie braku ostrości, Wykrywanie ruchu, Pojawianie się/Znikanie, Manipulacja, Wykrywanie dźwięku, Klasyfikacja dźwięku, Wykrywanie wstrząsów, Analityka biznesowa, Widok korytarza, Dźwięk dwukierunkowy i podwójny Gniazdo microSD/SDHC/SDXC, IP52, IK10, PoE+/12 V DC</v>
      </c>
      <c r="K204" s="43" t="s">
        <v>21</v>
      </c>
      <c r="L204" s="44">
        <v>1470.0</v>
      </c>
      <c r="M204" s="8"/>
      <c r="N204" s="45" t="s">
        <v>22</v>
      </c>
      <c r="O204" s="97"/>
      <c r="P204" s="36"/>
      <c r="Q204" s="35"/>
      <c r="R204" s="68"/>
      <c r="S204" s="68"/>
      <c r="T204" s="68"/>
      <c r="U204" s="35"/>
      <c r="V204" s="35"/>
      <c r="W204" s="35"/>
      <c r="X204" s="35"/>
      <c r="Y204" s="35"/>
      <c r="Z204" s="35"/>
      <c r="AA204" s="35"/>
      <c r="AB204" s="35"/>
      <c r="AC204" s="60"/>
      <c r="AD204" s="85"/>
      <c r="AE204" s="85"/>
      <c r="AF204" s="85"/>
      <c r="AG204" s="85"/>
      <c r="AH204" s="85"/>
      <c r="AI204" s="85"/>
      <c r="AJ204" s="85"/>
      <c r="AK204" s="85"/>
      <c r="AL204" s="85"/>
      <c r="AM204" s="85"/>
      <c r="AN204" s="85"/>
      <c r="AO204" s="85"/>
      <c r="AP204" s="85"/>
    </row>
    <row r="205" ht="46.5" customHeight="1">
      <c r="A205" s="29"/>
      <c r="B205" s="38" t="s">
        <v>118</v>
      </c>
      <c r="C205" s="99" t="s">
        <v>673</v>
      </c>
      <c r="D205" s="40" t="s">
        <v>674</v>
      </c>
      <c r="E205" s="40" t="s">
        <v>121</v>
      </c>
      <c r="F205" s="40" t="s">
        <v>623</v>
      </c>
      <c r="G205" s="39" t="s">
        <v>192</v>
      </c>
      <c r="H205" s="41" t="s">
        <v>19</v>
      </c>
      <c r="I205" s="42" t="s">
        <v>675</v>
      </c>
      <c r="J205" s="42" t="str">
        <f>IFERROR(__xludf.DUMMYFUNCTION("GOOGLETRANSLATE(I205,""en"",""pl"")"),"Seria P sieciowa kamera kopułkowa 2MP AI IR do montażu wpuszczanego w pomieszczeniach, modułowa struktura X PLUS, 2MP @120fps, obiektyw zmiennoogniskowy 4,38~9,33 mm (2,13x), potrójny kodek H.265/H.264/MJPEG z WiseStream II, WiseStream III, strumieniowani"&amp;"e wielokrotne, WDR 120 dB, automatyczny tryb dzień/noc (ICR), widoczna długość podczerwieni 40 m, sklasyfikowany typ obiektu: osoba/twarz/pojazd/tablica rejestracyjna z atrybutami, BestShot na obiekt, zdarzenia analityczne oparte na silniku AI: wykrywanie"&amp;" obiektów, wykrywanie maseczki, wykrywanie dystansu społecznego, wykrywanie kierunkowe, cyfrowe śledzenie automatyczne, wejście/wyjście, włóczęgostwo, linia wirtualna, zdarzenia analityczne: wykrywanie braku ostrości, wykrywanie ruchu, pojawianie się/znik"&amp;"anie, manipulacja, wykrywanie dźwięku, klasyfikacja dźwięku, wykrywanie wstrząsów, analityka biznesowa, widok korytarza, dźwięk dwukierunkowy i podwójny Gniazdo microSD/SDHC/SDXC, IP52, IK10, współczynnik plenum, PoE+/12 V DC")</f>
        <v>Seria P sieciowa kamera kopułkowa 2MP AI IR do montażu wpuszczanego w pomieszczeniach, modułowa struktura X PLUS, 2MP @120fps, obiektyw zmiennoogniskowy 4,38~9,33 mm (2,13x), potrójny kodek H.265/H.264/MJPEG z WiseStream II, WiseStream III, strumieniowanie wielokrotne, WDR 120 dB, automatyczny tryb dzień/noc (ICR), widoczna długość podczerwieni 40 m, sklasyfikowany typ obiektu: osoba/twarz/pojazd/tablica rejestracyjna z atrybutami, BestShot na obiekt, zdarzenia analityczne oparte na silniku AI: wykrywanie obiektów, wykrywanie maseczki, wykrywanie dystansu społecznego, wykrywanie kierunkowe, cyfrowe śledzenie automatyczne, wejście/wyjście, włóczęgostwo, linia wirtualna, zdarzenia analityczne: wykrywanie braku ostrości, wykrywanie ruchu, pojawianie się/znikanie, manipulacja, wykrywanie dźwięku, klasyfikacja dźwięku, wykrywanie wstrząsów, analityka biznesowa, widok korytarza, dźwięk dwukierunkowy i podwójny Gniazdo microSD/SDHC/SDXC, IP52, IK10, współczynnik plenum, PoE+/12 V DC</v>
      </c>
      <c r="K205" s="43" t="s">
        <v>21</v>
      </c>
      <c r="L205" s="44">
        <v>1470.0</v>
      </c>
      <c r="M205" s="8"/>
      <c r="N205" s="45" t="s">
        <v>22</v>
      </c>
      <c r="O205" s="97"/>
      <c r="P205" s="36"/>
      <c r="Q205" s="35"/>
      <c r="R205" s="68"/>
      <c r="S205" s="68"/>
      <c r="T205" s="68"/>
      <c r="U205" s="35"/>
      <c r="V205" s="35"/>
      <c r="W205" s="35"/>
      <c r="X205" s="35"/>
      <c r="Y205" s="35"/>
      <c r="Z205" s="35"/>
      <c r="AA205" s="35"/>
      <c r="AB205" s="35"/>
      <c r="AC205" s="60"/>
      <c r="AD205" s="85"/>
      <c r="AE205" s="85"/>
      <c r="AF205" s="85"/>
      <c r="AG205" s="85"/>
      <c r="AH205" s="85"/>
      <c r="AI205" s="85"/>
      <c r="AJ205" s="85"/>
      <c r="AK205" s="85"/>
      <c r="AL205" s="85"/>
      <c r="AM205" s="85"/>
      <c r="AN205" s="85"/>
      <c r="AO205" s="85"/>
      <c r="AP205" s="85"/>
    </row>
    <row r="206" ht="90.0" customHeight="1">
      <c r="A206" s="29"/>
      <c r="B206" s="116" t="s">
        <v>118</v>
      </c>
      <c r="C206" s="39" t="s">
        <v>676</v>
      </c>
      <c r="D206" s="40" t="s">
        <v>626</v>
      </c>
      <c r="E206" s="40" t="s">
        <v>174</v>
      </c>
      <c r="F206" s="40" t="s">
        <v>623</v>
      </c>
      <c r="G206" s="39" t="s">
        <v>18</v>
      </c>
      <c r="H206" s="41" t="s">
        <v>19</v>
      </c>
      <c r="I206" s="48" t="s">
        <v>677</v>
      </c>
      <c r="J206" s="42" t="str">
        <f>IFERROR(__xludf.DUMMYFUNCTION("GOOGLETRANSLATE(I206,""en"",""pl"")"),"Kamera zewnętrzna z serii Q z kamerą typu bullet, IR, zabezpieczona przed wandalizmem, 2 MP @ 30 kl./s, obiektyw z regulacją ogniskowej 3,2~10,2 mm (H: 102,0°~32,2° / V: 54,2°~18,3°), potrójny kodek H.265/H.264/MJPEG z Wisestream III (na podstawie silnika"&amp;" AI), WiseNRⅡ (na podstawie silnika AI), WDR 120 dB, widoczna długość podczerwieni 40 m (131,23 stopy), wykrywanie ruchu na podstawie silnika AI, sklasyfikowany typ obiektu: osoba/pojazd (typ pojazdu: samochód/autobus/ciężarówka/motocykl/rower); Wydarzeni"&amp;"a IVA oparte na silniku AI: linia wirtualna (przekroczenie/kierunek), obszar wirtualny (włóczęgostwo/wtargnięcie/wejście/wyjście/(zniknięcie)pojawienie się), *Dźwięk: wybieralny (wejście mikrofonowe/wejście liniowe), wykrywanie braku ostrości, widok koryt"&amp;"arza, karta SD, analiza wideo, USB dla łatwej instalacji, otwarta platforma, IP66, IK10, PoE, temperatura pracy -40°C~+55°C(-40°F ~ +131°F), kolor biały.")</f>
        <v>Kamera zewnętrzna z serii Q z kamerą typu bullet, IR, zabezpieczona przed wandalizmem, 2 MP @ 30 kl./s, obiektyw z regulacją ogniskowej 3,2~10,2 mm (H: 102,0°~32,2° / V: 54,2°~18,3°), potrójny kodek H.265/H.264/MJPEG z Wisestream III (na podstawie silnika AI), WiseNRⅡ (na podstawie silnika AI), WDR 120 dB, widoczna długość podczerwieni 40 m (131,23 stopy), wykrywanie ruchu na podstawie silnika AI, sklasyfikowany typ obiektu: osoba/pojazd (typ pojazdu: samochód/autobus/ciężarówka/motocykl/rower); Wydarzenia IVA oparte na silniku AI: linia wirtualna (przekroczenie/kierunek), obszar wirtualny (włóczęgostwo/wtargnięcie/wejście/wyjście/(zniknięcie)pojawienie się), *Dźwięk: wybieralny (wejście mikrofonowe/wejście liniowe), wykrywanie braku ostrości, widok korytarza, karta SD, analiza wideo, USB dla łatwej instalacji, otwarta platforma, IP66, IK10, PoE, temperatura pracy -40°C~+55°C(-40°F ~ +131°F), kolor biały.</v>
      </c>
      <c r="K206" s="43" t="s">
        <v>21</v>
      </c>
      <c r="L206" s="44">
        <v>620.0</v>
      </c>
      <c r="M206" s="8"/>
      <c r="N206" s="45" t="s">
        <v>22</v>
      </c>
      <c r="O206" s="97"/>
      <c r="P206" s="36"/>
      <c r="Q206" s="35"/>
      <c r="R206" s="68"/>
      <c r="S206" s="68"/>
      <c r="T206" s="68"/>
      <c r="U206" s="35"/>
      <c r="V206" s="35"/>
      <c r="W206" s="35"/>
      <c r="X206" s="35"/>
      <c r="Y206" s="35"/>
      <c r="Z206" s="35"/>
      <c r="AA206" s="35"/>
      <c r="AB206" s="35"/>
      <c r="AC206" s="60"/>
      <c r="AD206" s="85"/>
      <c r="AE206" s="85"/>
      <c r="AF206" s="85"/>
      <c r="AG206" s="85"/>
      <c r="AH206" s="85"/>
      <c r="AI206" s="85"/>
      <c r="AJ206" s="85"/>
      <c r="AK206" s="85"/>
      <c r="AL206" s="85"/>
      <c r="AM206" s="85"/>
      <c r="AN206" s="85"/>
      <c r="AO206" s="85"/>
      <c r="AP206" s="85"/>
    </row>
    <row r="207" ht="90.0" customHeight="1">
      <c r="A207" s="29"/>
      <c r="B207" s="38" t="s">
        <v>118</v>
      </c>
      <c r="C207" s="39" t="s">
        <v>678</v>
      </c>
      <c r="D207" s="40" t="s">
        <v>632</v>
      </c>
      <c r="E207" s="40" t="s">
        <v>174</v>
      </c>
      <c r="F207" s="40" t="s">
        <v>623</v>
      </c>
      <c r="G207" s="39" t="s">
        <v>184</v>
      </c>
      <c r="H207" s="41" t="s">
        <v>19</v>
      </c>
      <c r="I207" s="48" t="s">
        <v>679</v>
      </c>
      <c r="J207" s="42" t="str">
        <f>IFERROR(__xludf.DUMMYFUNCTION("GOOGLETRANSLATE(I207,""en"",""pl"")"),"Kamera kopułkowa IR serii Q, zewnętrzna, wandaloodporna, 2 MP @ 30 kl./s, obiektyw zmiennoogniskowy z napędem silnikowym 3,2~10,2 mm (H: 102,0°~32,2° / V: 54,2°~18,3°), potrójny kodek H.265/H.264/MJPEG z Wisestream III (na podstawie silnika AI), WiseNRⅡ ("&amp;"na podstawie silnika AI), WDR 120 dB, widoczna długość podczerwieni 40 m (131,23 stopy), wykrywanie ruchu na podstawie silnika AI, sklasyfikowany typ obiektu: osoba/pojazd (typ pojazdu: samochód/autobus/ciężarówka/motocykl/rower); Wydarzenia IVA oparte na"&amp;" silniku AI: wirtualna linia (przekroczenie/kierunek), wirtualny obszar (włóczęgostwo/wtargnięcie/wejście/wyjście/(zniknięcie)pojawienie się), *Audio: do wyboru (wejście mikrofonowe/wejście liniowe), wykrywanie braku ostrości, widok korytarza, karta SD, a"&amp;"naliza wideo, USB dla łatwej instalacji, otwarta platforma, IP66, IK10, PoE, temperatura pracy -40°C~+55°C(-40°F ~ +131°F), kolor biały. * Wejście/wyjście alarmu i dźwięk są obsługiwane przez opcjonalny kabel (SPP-C7400)")</f>
        <v>Kamera kopułkowa IR serii Q, zewnętrzna, wandaloodporna, 2 MP @ 30 kl./s, obiektyw zmiennoogniskowy z napędem silnikowym 3,2~10,2 mm (H: 102,0°~32,2° / V: 54,2°~18,3°), potrójny kodek H.265/H.264/MJPEG z Wisestream III (na podstawie silnika AI), WiseNRⅡ (na podstawie silnika AI), WDR 120 dB, widoczna długość podczerwieni 40 m (131,23 stopy), wykrywanie ruchu na podstawie silnika AI, sklasyfikowany typ obiektu: osoba/pojazd (typ pojazdu: samochód/autobus/ciężarówka/motocykl/rower); Wydarzenia IVA oparte na silniku AI: wirtualna linia (przekroczenie/kierunek), wirtualny obszar (włóczęgostwo/wtargnięcie/wejście/wyjście/(zniknięcie)pojawienie się), *Audio: do wyboru (wejście mikrofonowe/wejście liniowe), wykrywanie braku ostrości, widok korytarza, karta SD, analiza wideo, USB dla łatwej instalacji, otwarta platforma, IP66, IK10, PoE, temperatura pracy -40°C~+55°C(-40°F ~ +131°F), kolor biały. * Wejście/wyjście alarmu i dźwięk są obsługiwane przez opcjonalny kabel (SPP-C7400)</v>
      </c>
      <c r="K207" s="43" t="s">
        <v>21</v>
      </c>
      <c r="L207" s="44">
        <v>620.0</v>
      </c>
      <c r="M207" s="8"/>
      <c r="N207" s="45" t="s">
        <v>22</v>
      </c>
      <c r="O207" s="97"/>
      <c r="P207" s="36"/>
      <c r="Q207" s="35"/>
      <c r="R207" s="68"/>
      <c r="S207" s="68"/>
      <c r="T207" s="68"/>
      <c r="U207" s="35"/>
      <c r="V207" s="35"/>
      <c r="W207" s="35"/>
      <c r="X207" s="35"/>
      <c r="Y207" s="35"/>
      <c r="Z207" s="35"/>
      <c r="AA207" s="35"/>
      <c r="AB207" s="35"/>
      <c r="AC207" s="60"/>
      <c r="AD207" s="85"/>
      <c r="AE207" s="85"/>
      <c r="AF207" s="85"/>
      <c r="AG207" s="85"/>
      <c r="AH207" s="85"/>
      <c r="AI207" s="85"/>
      <c r="AJ207" s="85"/>
      <c r="AK207" s="85"/>
      <c r="AL207" s="85"/>
      <c r="AM207" s="85"/>
      <c r="AN207" s="85"/>
      <c r="AO207" s="85"/>
      <c r="AP207" s="85"/>
    </row>
    <row r="208" ht="102.0" customHeight="1">
      <c r="A208" s="29"/>
      <c r="B208" s="38" t="s">
        <v>118</v>
      </c>
      <c r="C208" s="39" t="s">
        <v>680</v>
      </c>
      <c r="D208" s="40" t="s">
        <v>681</v>
      </c>
      <c r="E208" s="40" t="s">
        <v>121</v>
      </c>
      <c r="F208" s="40" t="s">
        <v>623</v>
      </c>
      <c r="G208" s="39" t="s">
        <v>184</v>
      </c>
      <c r="H208" s="41" t="s">
        <v>19</v>
      </c>
      <c r="I208" s="42" t="s">
        <v>682</v>
      </c>
      <c r="J208" s="42" t="str">
        <f>IFERROR(__xludf.DUMMYFUNCTION("GOOGLETRANSLATE(I208,""en"",""pl"")"),"SolidEDGE to wydajna kamera AI 2 MP z wbudowanym dyskiem SSD o pojemności 1 TB, preinstalowanym systemem Hanwha WAVE VMS z licencją na 1 kanał, umożliwiająca nagrywanie z maksymalnie 5 dodatkowych kamer, co daje w sumie 6 kamer (łączna przepustowość 32 Mb"&amp;"/s). Sieciowa kamera kopułkowa IR serii P, zewnętrzna, wandaloodporna, konstrukcja modułowa, 2 MP @120 kl./s, obiektyw zmiennoogniskowy z napędem silnikowym 4,38–9,33 mm (2,13x), potrójny kodek H.265/H.264/MJPEG z WiseStream II, strumieniowanie wielokrotn"&amp;"e, WDR 120 dB, automatyczny tryb dzień/noc (ICR), zasięg podczerwieni 40 m, detekcja ruchu, widok korytarzowy, dwukierunkowy dźwięk, IP66/IP67/IP6K9K, IK10+, NEMA4X, PoE+/12 V DC. UWAGA: aby nagrywać z większej liczby kamer, należy zakupić dodatkową licen"&amp;"cję WAVE-PRO-XX.")</f>
        <v>SolidEDGE to wydajna kamera AI 2 MP z wbudowanym dyskiem SSD o pojemności 1 TB, preinstalowanym systemem Hanwha WAVE VMS z licencją na 1 kanał, umożliwiająca nagrywanie z maksymalnie 5 dodatkowych kamer, co daje w sumie 6 kamer (łączna przepustowość 32 Mb/s). Sieciowa kamera kopułkowa IR serii P, zewnętrzna, wandaloodporna, konstrukcja modułowa, 2 MP @120 kl./s, obiektyw zmiennoogniskowy z napędem silnikowym 4,38–9,33 mm (2,13x), potrójny kodek H.265/H.264/MJPEG z WiseStream II, strumieniowanie wielokrotne, WDR 120 dB, automatyczny tryb dzień/noc (ICR), zasięg podczerwieni 40 m, detekcja ruchu, widok korytarzowy, dwukierunkowy dźwięk, IP66/IP67/IP6K9K, IK10+, NEMA4X, PoE+/12 V DC. UWAGA: aby nagrywać z większej liczby kamer, należy zakupić dodatkową licencję WAVE-PRO-XX.</v>
      </c>
      <c r="K208" s="100" t="s">
        <v>21</v>
      </c>
      <c r="L208" s="44">
        <v>2750.0</v>
      </c>
      <c r="M208" s="8"/>
      <c r="N208" s="45" t="s">
        <v>22</v>
      </c>
      <c r="O208" s="97"/>
      <c r="P208" s="36"/>
      <c r="Q208" s="35"/>
      <c r="R208" s="68"/>
      <c r="S208" s="68"/>
      <c r="T208" s="68"/>
      <c r="U208" s="35"/>
      <c r="V208" s="35"/>
      <c r="W208" s="35"/>
      <c r="X208" s="35"/>
      <c r="Y208" s="35"/>
      <c r="Z208" s="35"/>
      <c r="AA208" s="35"/>
      <c r="AB208" s="35"/>
      <c r="AC208" s="60"/>
      <c r="AD208" s="85"/>
      <c r="AE208" s="85"/>
      <c r="AF208" s="85"/>
      <c r="AG208" s="85"/>
      <c r="AH208" s="85"/>
      <c r="AI208" s="85"/>
      <c r="AJ208" s="85"/>
      <c r="AK208" s="85"/>
      <c r="AL208" s="85"/>
      <c r="AM208" s="85"/>
      <c r="AN208" s="85"/>
      <c r="AO208" s="85"/>
      <c r="AP208" s="85"/>
    </row>
    <row r="209" ht="101.25" customHeight="1">
      <c r="A209" s="29"/>
      <c r="B209" s="38" t="s">
        <v>118</v>
      </c>
      <c r="C209" s="39" t="s">
        <v>683</v>
      </c>
      <c r="D209" s="40" t="s">
        <v>684</v>
      </c>
      <c r="E209" s="40" t="s">
        <v>121</v>
      </c>
      <c r="F209" s="40" t="s">
        <v>623</v>
      </c>
      <c r="G209" s="39" t="s">
        <v>184</v>
      </c>
      <c r="H209" s="41" t="s">
        <v>19</v>
      </c>
      <c r="I209" s="42" t="s">
        <v>685</v>
      </c>
      <c r="J209" s="42" t="str">
        <f>IFERROR(__xludf.DUMMYFUNCTION("GOOGLETRANSLATE(I209,""en"",""pl"")"),"SolidEDGE to wydajna kamera AI 2MP z wbudowanym dyskiem SSD o pojemności 2TB, preinstalowanym systemem Hanwha WAVE VMS z licencją na 1 kanał, umożliwiająca nagrywanie z maksymalnie 5 dodatkowych kamer, co daje w sumie 6 kamer (łączna przepustowość 32 Mb/s"&amp;"). Sieciowa kamera kopułkowa IR serii P, zewnętrzna, wandaloodporna, konstrukcja modułowa, 2MP @120fps, obiektyw zmiennoogniskowy 4,38~9,33 mm (2,13x), potrójny kodek H.265/H.264/MJPEG z WiseStream II, strumieniowanie wielokrotne, WDR 120 dB, automatyczny"&amp;" tryb dzień/noc (ICR), zasięg podczerwieni 40 m, detekcja ruchu, widok korytarzowy, dwukierunkowy dźwięk, IP66/IP67/IP6K9K, IK10+, NEMA4X, PoE+/12 V DC. UWAGA: aby nagrywać z większej liczby kamer, należy zakupić dodatkową licencję WAVE-PRO-XX.")</f>
        <v>SolidEDGE to wydajna kamera AI 2MP z wbudowanym dyskiem SSD o pojemności 2TB, preinstalowanym systemem Hanwha WAVE VMS z licencją na 1 kanał, umożliwiająca nagrywanie z maksymalnie 5 dodatkowych kamer, co daje w sumie 6 kamer (łączna przepustowość 32 Mb/s). Sieciowa kamera kopułkowa IR serii P, zewnętrzna, wandaloodporna, konstrukcja modułowa, 2MP @120fps, obiektyw zmiennoogniskowy 4,38~9,33 mm (2,13x), potrójny kodek H.265/H.264/MJPEG z WiseStream II, strumieniowanie wielokrotne, WDR 120 dB, automatyczny tryb dzień/noc (ICR), zasięg podczerwieni 40 m, detekcja ruchu, widok korytarzowy, dwukierunkowy dźwięk, IP66/IP67/IP6K9K, IK10+, NEMA4X, PoE+/12 V DC. UWAGA: aby nagrywać z większej liczby kamer, należy zakupić dodatkową licencję WAVE-PRO-XX.</v>
      </c>
      <c r="K209" s="107" t="s">
        <v>21</v>
      </c>
      <c r="L209" s="44">
        <v>3100.0</v>
      </c>
      <c r="M209" s="8"/>
      <c r="N209" s="45" t="s">
        <v>22</v>
      </c>
      <c r="O209" s="97"/>
      <c r="P209" s="36"/>
      <c r="Q209" s="35"/>
      <c r="R209" s="68"/>
      <c r="S209" s="68"/>
      <c r="T209" s="68"/>
      <c r="U209" s="35"/>
      <c r="V209" s="35"/>
      <c r="W209" s="35"/>
      <c r="X209" s="35"/>
      <c r="Y209" s="35"/>
      <c r="Z209" s="35"/>
      <c r="AA209" s="35"/>
      <c r="AB209" s="35"/>
      <c r="AC209" s="60"/>
      <c r="AD209" s="85"/>
      <c r="AE209" s="85"/>
      <c r="AF209" s="85"/>
      <c r="AG209" s="85"/>
      <c r="AH209" s="85"/>
      <c r="AI209" s="85"/>
      <c r="AJ209" s="85"/>
      <c r="AK209" s="85"/>
      <c r="AL209" s="85"/>
      <c r="AM209" s="85"/>
      <c r="AN209" s="85"/>
      <c r="AO209" s="85"/>
      <c r="AP209" s="85"/>
    </row>
    <row r="210" ht="99.0" customHeight="1">
      <c r="A210" s="29"/>
      <c r="B210" s="38" t="s">
        <v>118</v>
      </c>
      <c r="C210" s="39" t="s">
        <v>686</v>
      </c>
      <c r="D210" s="40" t="s">
        <v>687</v>
      </c>
      <c r="E210" s="40" t="s">
        <v>168</v>
      </c>
      <c r="F210" s="40" t="s">
        <v>623</v>
      </c>
      <c r="G210" s="39" t="s">
        <v>192</v>
      </c>
      <c r="H210" s="41" t="s">
        <v>688</v>
      </c>
      <c r="I210" s="48" t="s">
        <v>689</v>
      </c>
      <c r="J210" s="42" t="str">
        <f>IFERROR(__xludf.DUMMYFUNCTION("GOOGLETRANSLATE(I210,""en"",""pl"")"),"Seria X zasilana przez kamerę kopułkową z podtynkowym mocowaniem IR sieci Wisenet 5, modułowa konstrukcja X PLUS, 2 MP @60 kl./s, obiektyw zmiennoogniskowy 2,8 ~ 12,0 mm z napędem silnikowym (4,3x) (119,5°~27,9°), potrójny kodek H.265/H.264/MJPEG z WiseSt"&amp;"ream II, strumieniowanie wielokrotne, 150 dB WDR, True Day &amp; Night (ICR), diody LED IR o dużej mocy z widoczną długością podczerwieni 50 m, zaawansowana analiza wideo i klasyfikacja dźwięku oraz analiza biznesowa, wykrywanie wstrząsów, odtwarzanie dźwięku"&amp;", widok korytarza, wykrywanie ruchu, wykrywanie mgły, HLC, cyfrowa stabilizacja obrazu z czujnikiem żyroskopowym, dwukierunkowy dźwięk i dwa gniazda microSD/SDHC/SDXC, ONVIF S/G/T, port USB ułatwiający instalację, IP52, współczynnik plenum (UL2820), PoE/1"&amp;"2 V DC")</f>
        <v>Seria X zasilana przez kamerę kopułkową z podtynkowym mocowaniem IR sieci Wisenet 5, modułowa konstrukcja X PLUS, 2 MP @60 kl./s, obiektyw zmiennoogniskowy 2,8 ~ 12,0 mm z napędem silnikowym (4,3x) (119,5°~27,9°), potrójny kodek H.265/H.264/MJPEG z WiseStream II, strumieniowanie wielokrotne, 150 dB WDR, True Day &amp; Night (ICR), diody LED IR o dużej mocy z widoczną długością podczerwieni 50 m, zaawansowana analiza wideo i klasyfikacja dźwięku oraz analiza biznesowa, wykrywanie wstrząsów, odtwarzanie dźwięku, widok korytarza, wykrywanie ruchu, wykrywanie mgły, HLC, cyfrowa stabilizacja obrazu z czujnikiem żyroskopowym, dwukierunkowy dźwięk i dwa gniazda microSD/SDHC/SDXC, ONVIF S/G/T, port USB ułatwiający instalację, IP52, współczynnik plenum (UL2820), PoE/12 V DC</v>
      </c>
      <c r="K210" s="43" t="s">
        <v>21</v>
      </c>
      <c r="L210" s="44">
        <v>949.0</v>
      </c>
      <c r="M210" s="8"/>
      <c r="N210" s="45" t="s">
        <v>22</v>
      </c>
      <c r="O210" s="97"/>
      <c r="P210" s="36"/>
      <c r="Q210" s="35"/>
      <c r="R210" s="68"/>
      <c r="S210" s="68"/>
      <c r="T210" s="68"/>
      <c r="U210" s="35"/>
      <c r="V210" s="35"/>
      <c r="W210" s="35"/>
      <c r="X210" s="35"/>
      <c r="Y210" s="35"/>
      <c r="Z210" s="35"/>
      <c r="AA210" s="35"/>
      <c r="AB210" s="35"/>
      <c r="AC210" s="60"/>
      <c r="AD210" s="85"/>
      <c r="AE210" s="85"/>
      <c r="AF210" s="85"/>
      <c r="AG210" s="85"/>
      <c r="AH210" s="85"/>
      <c r="AI210" s="85"/>
      <c r="AJ210" s="85"/>
      <c r="AK210" s="85"/>
      <c r="AL210" s="85"/>
      <c r="AM210" s="85"/>
      <c r="AN210" s="85"/>
      <c r="AO210" s="85"/>
      <c r="AP210" s="85"/>
    </row>
    <row r="211" ht="120.0" customHeight="1">
      <c r="A211" s="29"/>
      <c r="B211" s="38" t="s">
        <v>118</v>
      </c>
      <c r="C211" s="39" t="s">
        <v>690</v>
      </c>
      <c r="D211" s="40" t="s">
        <v>691</v>
      </c>
      <c r="E211" s="40" t="s">
        <v>168</v>
      </c>
      <c r="F211" s="40" t="s">
        <v>623</v>
      </c>
      <c r="G211" s="39" t="s">
        <v>184</v>
      </c>
      <c r="H211" s="41" t="s">
        <v>692</v>
      </c>
      <c r="I211" s="48" t="s">
        <v>693</v>
      </c>
      <c r="J211" s="42" t="str">
        <f>IFERROR(__xludf.DUMMYFUNCTION("GOOGLETRANSLATE(I211,""en"",""pl"")"),"Seria X zasilana przez zewnętrzną kamerę kopułkową Wisenet 5 z podczerwienią, modułowa konstrukcja X PLUS, 2 MP @60 kl./s, obiektyw zmiennoogniskowy z napędem silnikowym 2,8 ~ 12,0 mm (4,3x) (119,5°~27,9°), potrójny kodek H.265/H.264/MJPEG z WiseStream II"&amp;", strumieniowanie wielokrotne, 150 dB WDR, True Day &amp; Night (ICR), diody LED IR o dużej mocy z widoczną długością podczerwieni 70 m, zaawansowana analiza wideo i klasyfikacja dźwięku oraz analiza biznesowa, wykrywanie wstrząsów, odtwarzanie dźwięku, widok"&amp;" korytarza, wykrywanie ruchu, wykrywanie mgły, HLC, cyfrowa stabilizacja obrazu z czujnikiem żyroskopowym, dwukierunkowy dźwięk i podwójne gniazdo microSD/SDHC/SDXC, ONVIF S/G/T, port USB ułatwiający instalację, IP67/IP66/IP6K9K, IK10+, Nema 4X, PoE/12 V "&amp;"DC, opcjonalnie 24 V AC, w zestawie skórki w kolorze białym i kości słoniowej, opcjonalnie czarna osłonka")</f>
        <v>Seria X zasilana przez zewnętrzną kamerę kopułkową Wisenet 5 z podczerwienią, modułowa konstrukcja X PLUS, 2 MP @60 kl./s, obiektyw zmiennoogniskowy z napędem silnikowym 2,8 ~ 12,0 mm (4,3x) (119,5°~27,9°), potrójny kodek H.265/H.264/MJPEG z WiseStream II, strumieniowanie wielokrotne, 150 dB WDR, True Day &amp; Night (ICR), diody LED IR o dużej mocy z widoczną długością podczerwieni 70 m, zaawansowana analiza wideo i klasyfikacja dźwięku oraz analiza biznesowa, wykrywanie wstrząsów, odtwarzanie dźwięku, widok korytarza, wykrywanie ruchu, wykrywanie mgły, HLC, cyfrowa stabilizacja obrazu z czujnikiem żyroskopowym, dwukierunkowy dźwięk i podwójne gniazdo microSD/SDHC/SDXC, ONVIF S/G/T, port USB ułatwiający instalację, IP67/IP66/IP6K9K, IK10+, Nema 4X, PoE/12 V DC, opcjonalnie 24 V AC, w zestawie skórki w kolorze białym i kości słoniowej, opcjonalnie czarna osłonka</v>
      </c>
      <c r="K211" s="43" t="s">
        <v>21</v>
      </c>
      <c r="L211" s="44">
        <v>1166.0</v>
      </c>
      <c r="M211" s="8"/>
      <c r="N211" s="45" t="s">
        <v>22</v>
      </c>
      <c r="O211" s="97"/>
      <c r="P211" s="36"/>
      <c r="Q211" s="35"/>
      <c r="R211" s="68"/>
      <c r="S211" s="68"/>
      <c r="T211" s="68"/>
      <c r="U211" s="35"/>
      <c r="V211" s="35"/>
      <c r="W211" s="35"/>
      <c r="X211" s="35"/>
      <c r="Y211" s="35"/>
      <c r="Z211" s="35"/>
      <c r="AA211" s="35"/>
      <c r="AB211" s="35"/>
      <c r="AC211" s="101"/>
      <c r="AD211" s="98"/>
      <c r="AE211" s="98"/>
      <c r="AF211" s="98"/>
      <c r="AG211" s="98"/>
      <c r="AH211" s="98"/>
      <c r="AI211" s="85"/>
      <c r="AJ211" s="85"/>
      <c r="AK211" s="85"/>
      <c r="AL211" s="85"/>
      <c r="AM211" s="85"/>
      <c r="AN211" s="85"/>
      <c r="AO211" s="85"/>
      <c r="AP211" s="85"/>
    </row>
    <row r="212" ht="102.0" customHeight="1">
      <c r="A212" s="29"/>
      <c r="B212" s="38" t="s">
        <v>118</v>
      </c>
      <c r="C212" s="39" t="s">
        <v>694</v>
      </c>
      <c r="D212" s="40" t="s">
        <v>695</v>
      </c>
      <c r="E212" s="40" t="s">
        <v>168</v>
      </c>
      <c r="F212" s="40" t="s">
        <v>623</v>
      </c>
      <c r="G212" s="39" t="s">
        <v>184</v>
      </c>
      <c r="H212" s="41" t="s">
        <v>19</v>
      </c>
      <c r="I212" s="48" t="s">
        <v>696</v>
      </c>
      <c r="J212" s="42" t="str">
        <f>IFERROR(__xludf.DUMMYFUNCTION("GOOGLETRANSLATE(I212,""en"",""pl"")"),"Seria X zasilana przez zewnętrzną kamerę kopułkową Wisenet 5 z podczerwienią, modułowa konstrukcja X PLUS, wejście PoE+/wyjście PoE, 2MP @60fps, obiektyw zmiennoogniskowy z napędem silnikowym 2,8 ~ 12,0 mm (4,3x) (119,5°~27,9°), potrójny kodek H.265/H.264"&amp;"/MJPEG z WiseStream II, strumieniowanie wielokrotne, WDR 150 dB, True Day &amp; Night (ICR), diody LED IR o dużej mocy z widoczną długością podczerwieni 50 m, zaawansowana analiza wideo i klasyfikacja dźwięku oraz analiza biznesowa, wykrywanie wstrząsów, odtw"&amp;"arzanie dźwięku, widok korytarza, wykrywanie ruchu, wykrywanie mgły, HLC, cyfrowa stabilizacja obrazu z czujnikiem żyroskopowym, dwukierunkowy dźwięk i podwójne gniazdo microSD/SDHC/SDXC, ONVIF S/G/T, port USB ułatwiający instalację, IP67/IP66/IP6K9K, IK1"&amp;"0+, Nema 4X, PoE+")</f>
        <v>Seria X zasilana przez zewnętrzną kamerę kopułkową Wisenet 5 z podczerwienią, modułowa konstrukcja X PLUS, wejście PoE+/wyjście PoE, 2MP @60fps, obiektyw zmiennoogniskowy z napędem silnikowym 2,8 ~ 12,0 mm (4,3x) (119,5°~27,9°), potrójny kodek H.265/H.264/MJPEG z WiseStream II, strumieniowanie wielokrotne, WDR 150 dB, True Day &amp; Night (ICR), diody LED IR o dużej mocy z widoczną długością podczerwieni 50 m, zaawansowana analiza wideo i klasyfikacja dźwięku oraz analiza biznesowa, wykrywanie wstrząsów, odtwarzanie dźwięku, widok korytarza, wykrywanie ruchu, wykrywanie mgły, HLC, cyfrowa stabilizacja obrazu z czujnikiem żyroskopowym, dwukierunkowy dźwięk i podwójne gniazdo microSD/SDHC/SDXC, ONVIF S/G/T, port USB ułatwiający instalację, IP67/IP66/IP6K9K, IK10+, Nema 4X, PoE+</v>
      </c>
      <c r="K212" s="43" t="s">
        <v>21</v>
      </c>
      <c r="L212" s="44">
        <v>1225.0</v>
      </c>
      <c r="M212" s="8"/>
      <c r="N212" s="45" t="s">
        <v>22</v>
      </c>
      <c r="O212" s="97"/>
      <c r="P212" s="36"/>
      <c r="Q212" s="35"/>
      <c r="R212" s="68"/>
      <c r="S212" s="68"/>
      <c r="T212" s="68"/>
      <c r="U212" s="35"/>
      <c r="V212" s="35"/>
      <c r="W212" s="35"/>
      <c r="X212" s="35"/>
      <c r="Y212" s="35"/>
      <c r="Z212" s="35"/>
      <c r="AA212" s="35"/>
      <c r="AB212" s="35"/>
      <c r="AC212" s="101"/>
      <c r="AD212" s="98"/>
      <c r="AE212" s="98"/>
      <c r="AF212" s="98"/>
      <c r="AG212" s="98"/>
      <c r="AH212" s="98"/>
      <c r="AI212" s="85"/>
      <c r="AJ212" s="85"/>
      <c r="AK212" s="85"/>
      <c r="AL212" s="85"/>
      <c r="AM212" s="85"/>
      <c r="AN212" s="85"/>
      <c r="AO212" s="85"/>
      <c r="AP212" s="85"/>
    </row>
    <row r="213" ht="98.25" customHeight="1">
      <c r="A213" s="29"/>
      <c r="B213" s="38" t="s">
        <v>118</v>
      </c>
      <c r="C213" s="39" t="s">
        <v>697</v>
      </c>
      <c r="D213" s="40" t="s">
        <v>695</v>
      </c>
      <c r="E213" s="40" t="s">
        <v>168</v>
      </c>
      <c r="F213" s="40" t="s">
        <v>623</v>
      </c>
      <c r="G213" s="39" t="s">
        <v>192</v>
      </c>
      <c r="H213" s="41" t="s">
        <v>19</v>
      </c>
      <c r="I213" s="48" t="s">
        <v>698</v>
      </c>
      <c r="J213" s="42" t="str">
        <f>IFERROR(__xludf.DUMMYFUNCTION("GOOGLETRANSLATE(I213,""en"",""pl"")"),"Seria X zasilana przez kamerę kopułkową IR do zastosowań wewnętrznych, zabezpieczoną przed wandalizmem, modułowa konstrukcja X PLUS, wejście PoE+/wyjście PoE, 2 MP @60 kl./s, obiektyw zmiennoogniskowy 2,8 ~ 12,0 mm z napędem silnikowym (4,3x) (119,5°~27,9"&amp;"°), potrójny kodek H.265/H.264/MJPEG z WiseStream II, strumieniowanie wielokrotne, WDR 150 dB, True Day &amp; Night (ICR), diody LED IR o dużej mocy z widoczną długością podczerwieni 50 m, zaawansowana analiza wideo i klasyfikacja dźwięku oraz analiza bizneso"&amp;"wa, wykrywanie wstrząsów, odtwarzanie dźwięku, widok z korytarza, wykrywanie ruchu, wykrywanie mgły, HLC, cyfrowa stabilizacja obrazu z czujnikiem żyroskopowym, dwukierunkowy dźwięk i dwa gniazda microSD/SDHC/SDXC, ONVIF S/G/T, port USB ułatwiający instal"&amp;"ację, IP52, IK10, PoE+")</f>
        <v>Seria X zasilana przez kamerę kopułkową IR do zastosowań wewnętrznych, zabezpieczoną przed wandalizmem, modułowa konstrukcja X PLUS, wejście PoE+/wyjście PoE, 2 MP @60 kl./s, obiektyw zmiennoogniskowy 2,8 ~ 12,0 mm z napędem silnikowym (4,3x) (119,5°~27,9°), potrójny kodek H.265/H.264/MJPEG z WiseStream II, strumieniowanie wielokrotne, WDR 150 dB, True Day &amp; Night (ICR), diody LED IR o dużej mocy z widoczną długością podczerwieni 50 m, zaawansowana analiza wideo i klasyfikacja dźwięku oraz analiza biznesowa, wykrywanie wstrząsów, odtwarzanie dźwięku, widok z korytarza, wykrywanie ruchu, wykrywanie mgły, HLC, cyfrowa stabilizacja obrazu z czujnikiem żyroskopowym, dwukierunkowy dźwięk i dwa gniazda microSD/SDHC/SDXC, ONVIF S/G/T, port USB ułatwiający instalację, IP52, IK10, PoE+</v>
      </c>
      <c r="K213" s="43" t="s">
        <v>21</v>
      </c>
      <c r="L213" s="44">
        <v>997.0</v>
      </c>
      <c r="M213" s="8"/>
      <c r="N213" s="45" t="s">
        <v>22</v>
      </c>
      <c r="O213" s="97"/>
      <c r="P213" s="36"/>
      <c r="Q213" s="35"/>
      <c r="R213" s="68"/>
      <c r="S213" s="68"/>
      <c r="T213" s="68"/>
      <c r="U213" s="35"/>
      <c r="V213" s="35"/>
      <c r="W213" s="35"/>
      <c r="X213" s="35"/>
      <c r="Y213" s="35"/>
      <c r="Z213" s="35"/>
      <c r="AA213" s="35"/>
      <c r="AB213" s="35"/>
      <c r="AC213" s="60"/>
      <c r="AD213" s="85"/>
      <c r="AE213" s="85"/>
      <c r="AF213" s="85"/>
      <c r="AG213" s="85"/>
      <c r="AH213" s="85"/>
      <c r="AI213" s="85"/>
      <c r="AJ213" s="85"/>
      <c r="AK213" s="85"/>
      <c r="AL213" s="85"/>
      <c r="AM213" s="85"/>
      <c r="AN213" s="85"/>
      <c r="AO213" s="85"/>
      <c r="AP213" s="85"/>
    </row>
    <row r="214" ht="97.5" customHeight="1">
      <c r="A214" s="29"/>
      <c r="B214" s="38" t="s">
        <v>118</v>
      </c>
      <c r="C214" s="39" t="s">
        <v>699</v>
      </c>
      <c r="D214" s="40" t="s">
        <v>700</v>
      </c>
      <c r="E214" s="40" t="s">
        <v>168</v>
      </c>
      <c r="F214" s="40" t="s">
        <v>623</v>
      </c>
      <c r="G214" s="39" t="s">
        <v>184</v>
      </c>
      <c r="H214" s="41" t="s">
        <v>701</v>
      </c>
      <c r="I214" s="48" t="s">
        <v>702</v>
      </c>
      <c r="J214" s="42" t="str">
        <f>IFERROR(__xludf.DUMMYFUNCTION("GOOGLETRANSLATE(I214,""en"",""pl"")"),"Seria X zasilana przez zewnętrzną kamerę kopułkową Wisenet 5, modułowa konstrukcja X PLUS, 2 MP @60 kl./s, obiektyw zmiennoogniskowy z napędem silnikowym 2,8 ~ 12,0 mm (4,3x) (119,5°~27,9°), potrójny kodek H.265/H.264/MJPEG z WiseStream II, strumieniowani"&amp;"e wielokrotne, 150 dB WDR, True Day &amp; Night (ICR), zaawansowana analiza wideo i klasyfikacja dźwięku oraz analiza biznesowa, wykrywanie wstrząsów, odtwarzanie dźwięku, widok korytarza, wykrywanie ruchu, wykrywanie mgły, HLC, cyfrowa stabilizacja obrazu z "&amp;"czujnikiem żyroskopowym, dwukierunkowy dźwięk i dwa gniazda microSD/SDHC/SDXC, ONVIF S/G/T, port USB ułatwiający instalację, IP67/IP66/IP6K9K, IK10+, Nema 4X, PoE/12 V DC, opcjonalne 24 V AC, białe i kości słoniowej kolory skóry w zestawie opcjonalna czar"&amp;"na osłona")</f>
        <v>Seria X zasilana przez zewnętrzną kamerę kopułkową Wisenet 5, modułowa konstrukcja X PLUS, 2 MP @60 kl./s, obiektyw zmiennoogniskowy z napędem silnikowym 2,8 ~ 12,0 mm (4,3x) (119,5°~27,9°), potrójny kodek H.265/H.264/MJPEG z WiseStream II, strumieniowanie wielokrotne, 150 dB WDR, True Day &amp; Night (ICR), zaawansowana analiza wideo i klasyfikacja dźwięku oraz analiza biznesowa, wykrywanie wstrząsów, odtwarzanie dźwięku, widok korytarza, wykrywanie ruchu, wykrywanie mgły, HLC, cyfrowa stabilizacja obrazu z czujnikiem żyroskopowym, dwukierunkowy dźwięk i dwa gniazda microSD/SDHC/SDXC, ONVIF S/G/T, port USB ułatwiający instalację, IP67/IP66/IP6K9K, IK10+, Nema 4X, PoE/12 V DC, opcjonalne 24 V AC, białe i kości słoniowej kolory skóry w zestawie opcjonalna czarna osłona</v>
      </c>
      <c r="K214" s="43" t="s">
        <v>21</v>
      </c>
      <c r="L214" s="44">
        <v>1060.0</v>
      </c>
      <c r="M214" s="8"/>
      <c r="N214" s="45" t="s">
        <v>22</v>
      </c>
      <c r="O214" s="97"/>
      <c r="P214" s="36"/>
      <c r="Q214" s="35"/>
      <c r="R214" s="68"/>
      <c r="S214" s="68"/>
      <c r="T214" s="68"/>
      <c r="U214" s="35"/>
      <c r="V214" s="35"/>
      <c r="W214" s="35"/>
      <c r="X214" s="35"/>
      <c r="Y214" s="35"/>
      <c r="Z214" s="35"/>
      <c r="AA214" s="35"/>
      <c r="AB214" s="35"/>
      <c r="AC214" s="60"/>
      <c r="AD214" s="85"/>
      <c r="AE214" s="85"/>
      <c r="AF214" s="85"/>
      <c r="AG214" s="85"/>
      <c r="AH214" s="85"/>
      <c r="AI214" s="85"/>
      <c r="AJ214" s="85"/>
      <c r="AK214" s="85"/>
      <c r="AL214" s="85"/>
      <c r="AM214" s="85"/>
      <c r="AN214" s="85"/>
      <c r="AO214" s="85"/>
      <c r="AP214" s="85"/>
    </row>
    <row r="215" ht="99.75" customHeight="1">
      <c r="A215" s="29"/>
      <c r="B215" s="38" t="s">
        <v>118</v>
      </c>
      <c r="C215" s="39" t="s">
        <v>703</v>
      </c>
      <c r="D215" s="40" t="s">
        <v>704</v>
      </c>
      <c r="E215" s="40" t="s">
        <v>168</v>
      </c>
      <c r="F215" s="40" t="s">
        <v>623</v>
      </c>
      <c r="G215" s="39" t="s">
        <v>131</v>
      </c>
      <c r="H215" s="41" t="s">
        <v>19</v>
      </c>
      <c r="I215" s="48" t="s">
        <v>705</v>
      </c>
      <c r="J215" s="42" t="str">
        <f>IFERROR(__xludf.DUMMYFUNCTION("GOOGLETRANSLATE(I215,""en"",""pl"")"),"Seria X zasilana przez kamerę sieciową Wisenet 5, 2 MP @60fps, proste ustawianie ostrości, potrójny kodek H.265/H.264/MJPEG z WiseStream II, strumieniowanie wielokrotne, WDR 150 dB, True Day &amp; Night (ICR), zaawansowana analiza wideo i klasyfikacja dźwięku"&amp;", widok korytarza, wykrywanie ruchu, wykrywanie mgły, HLC, przekazywanie, cyfrowa stabilizacja obrazu z wbudowanym czujnikiem żyroskopowym, dwukierunkowy dźwięk i dwa gniazda SD/SDHC/SDXC, port USB umożliwiający łatwą instalację, PoE/12 V DC/24 V AC ※ Obi"&amp;"ektyw nie jest dołączony")</f>
        <v>Seria X zasilana przez kamerę sieciową Wisenet 5, 2 MP @60fps, proste ustawianie ostrości, potrójny kodek H.265/H.264/MJPEG z WiseStream II, strumieniowanie wielokrotne, WDR 150 dB, True Day &amp; Night (ICR), zaawansowana analiza wideo i klasyfikacja dźwięku, widok korytarza, wykrywanie ruchu, wykrywanie mgły, HLC, przekazywanie, cyfrowa stabilizacja obrazu z wbudowanym czujnikiem żyroskopowym, dwukierunkowy dźwięk i dwa gniazda SD/SDHC/SDXC, port USB umożliwiający łatwą instalację, PoE/12 V DC/24 V AC ※ Obiektyw nie jest dołączony</v>
      </c>
      <c r="K215" s="43" t="s">
        <v>21</v>
      </c>
      <c r="L215" s="44">
        <v>660.0</v>
      </c>
      <c r="M215" s="8"/>
      <c r="N215" s="45" t="s">
        <v>22</v>
      </c>
      <c r="O215" s="97"/>
      <c r="P215" s="36"/>
      <c r="Q215" s="35"/>
      <c r="R215" s="68"/>
      <c r="S215" s="68"/>
      <c r="T215" s="68"/>
      <c r="U215" s="35"/>
      <c r="V215" s="35"/>
      <c r="W215" s="35"/>
      <c r="X215" s="35"/>
      <c r="Y215" s="35"/>
      <c r="Z215" s="35"/>
      <c r="AA215" s="35"/>
      <c r="AB215" s="35"/>
      <c r="AC215" s="60"/>
      <c r="AD215" s="85"/>
      <c r="AE215" s="85"/>
      <c r="AF215" s="85"/>
      <c r="AG215" s="85"/>
      <c r="AH215" s="85"/>
      <c r="AI215" s="85"/>
      <c r="AJ215" s="85"/>
      <c r="AK215" s="85"/>
      <c r="AL215" s="85"/>
      <c r="AM215" s="85"/>
      <c r="AN215" s="85"/>
      <c r="AO215" s="85"/>
      <c r="AP215" s="85"/>
    </row>
    <row r="216" ht="99.75" customHeight="1">
      <c r="A216" s="29"/>
      <c r="B216" s="38" t="s">
        <v>118</v>
      </c>
      <c r="C216" s="39" t="s">
        <v>706</v>
      </c>
      <c r="D216" s="40" t="s">
        <v>707</v>
      </c>
      <c r="E216" s="40" t="s">
        <v>168</v>
      </c>
      <c r="F216" s="40" t="s">
        <v>623</v>
      </c>
      <c r="G216" s="39" t="s">
        <v>131</v>
      </c>
      <c r="H216" s="41" t="s">
        <v>19</v>
      </c>
      <c r="I216" s="48" t="s">
        <v>708</v>
      </c>
      <c r="J216" s="42" t="str">
        <f>IFERROR(__xludf.DUMMYFUNCTION("GOOGLETRANSLATE(I216,""en"",""pl"")"),"Seria X zasilana zdalną kamerą czołową Wisenet 5, 2MP @60fps, potrójny kodek H.265/H.264/MJPEG z WiseStream II, strumieniowanie wielokrotne, WDR 120 dB, zaawansowana analiza wideo i klasyfikacja dźwięku oraz analiza biznesowa, wykrywanie ruchu, wykrywanie"&amp;" mgły, HLC, przekazywanie, cyfrowa stabilizacja obrazu, dwukierunkowy dźwięk i gniazdo SD/SDHC/SDXC, port USB ułatwiający instalację, PoE/12VDC, kompatybilna z następującymi modułami obiektywów: SLA-T2480, SLA-T2480V, SLA-T4680, SLA-T4680V, ​​SLA-T1080F, "&amp;"SLA-T4680D, SLA-T4680DS, SLA-T4680DW (brak w zestawie) ※ Obiektyw nie jest dołączony")</f>
        <v>Seria X zasilana zdalną kamerą czołową Wisenet 5, 2MP @60fps, potrójny kodek H.265/H.264/MJPEG z WiseStream II, strumieniowanie wielokrotne, WDR 120 dB, zaawansowana analiza wideo i klasyfikacja dźwięku oraz analiza biznesowa, wykrywanie ruchu, wykrywanie mgły, HLC, przekazywanie, cyfrowa stabilizacja obrazu, dwukierunkowy dźwięk i gniazdo SD/SDHC/SDXC, port USB ułatwiający instalację, PoE/12VDC, kompatybilna z następującymi modułami obiektywów: SLA-T2480, SLA-T2480V, SLA-T4680, SLA-T4680V, ​​SLA-T1080F, SLA-T4680D, SLA-T4680DS, SLA-T4680DW (brak w zestawie) ※ Obiektyw nie jest dołączony</v>
      </c>
      <c r="K216" s="43" t="s">
        <v>21</v>
      </c>
      <c r="L216" s="44">
        <v>462.0</v>
      </c>
      <c r="M216" s="8"/>
      <c r="N216" s="45" t="s">
        <v>22</v>
      </c>
      <c r="O216" s="97"/>
      <c r="P216" s="36"/>
      <c r="Q216" s="35"/>
      <c r="R216" s="68"/>
      <c r="S216" s="68"/>
      <c r="T216" s="68"/>
      <c r="U216" s="35"/>
      <c r="V216" s="35"/>
      <c r="W216" s="35"/>
      <c r="X216" s="35"/>
      <c r="Y216" s="35"/>
      <c r="Z216" s="35"/>
      <c r="AA216" s="35"/>
      <c r="AB216" s="35"/>
      <c r="AC216" s="60"/>
      <c r="AD216" s="85"/>
      <c r="AE216" s="85"/>
      <c r="AF216" s="85"/>
      <c r="AG216" s="85"/>
      <c r="AH216" s="85"/>
      <c r="AI216" s="85"/>
      <c r="AJ216" s="85"/>
      <c r="AK216" s="85"/>
      <c r="AL216" s="85"/>
      <c r="AM216" s="85"/>
      <c r="AN216" s="85"/>
      <c r="AO216" s="85"/>
      <c r="AP216" s="85"/>
    </row>
    <row r="217" ht="99.75" customHeight="1">
      <c r="A217" s="29"/>
      <c r="B217" s="38" t="s">
        <v>118</v>
      </c>
      <c r="C217" s="39" t="s">
        <v>709</v>
      </c>
      <c r="D217" s="40" t="s">
        <v>707</v>
      </c>
      <c r="E217" s="40" t="s">
        <v>168</v>
      </c>
      <c r="F217" s="40" t="s">
        <v>623</v>
      </c>
      <c r="G217" s="39" t="s">
        <v>131</v>
      </c>
      <c r="H217" s="41" t="s">
        <v>19</v>
      </c>
      <c r="I217" s="48" t="s">
        <v>710</v>
      </c>
      <c r="J217" s="42" t="str">
        <f>IFERROR(__xludf.DUMMYFUNCTION("GOOGLETRANSLATE(I217,""en"",""pl"")"),"Seria X z kamerą Wisenet 7, 2 MP @60 kl./s, potrójny kodek H.265/H.264/MJPEG z WiseStream II, strumieniowanie wielokrotne, WDR 120 dB, zaawansowana analiza wideo, klasyfikacja dźwięku i analityka biznesowa, detekcja ruchu, funkcja przekazywania, wykrywani"&amp;"e mgły, HLC, przekazywanie, cyfrowa stabilizacja obrazu, dwukierunkowy dźwięk i gniazdo kart SD/SDHC/SDXC, port USB ułatwiający instalację, PoE/12 V DC, kompatybilność z następującymi modułami obiektywów: SLA-T2480FA, SLA-T2480A, SLA-T2480VA, SLA-T4680A, "&amp;"SLA-T4680VA (brak w zestawie) ※ Obiektyw nie jest dołączony")</f>
        <v>Seria X z kamerą Wisenet 7, 2 MP @60 kl./s, potrójny kodek H.265/H.264/MJPEG z WiseStream II, strumieniowanie wielokrotne, WDR 120 dB, zaawansowana analiza wideo, klasyfikacja dźwięku i analityka biznesowa, detekcja ruchu, funkcja przekazywania, wykrywanie mgły, HLC, przekazywanie, cyfrowa stabilizacja obrazu, dwukierunkowy dźwięk i gniazdo kart SD/SDHC/SDXC, port USB ułatwiający instalację, PoE/12 V DC, kompatybilność z następującymi modułami obiektywów: SLA-T2480FA, SLA-T2480A, SLA-T2480VA, SLA-T4680A, SLA-T4680VA (brak w zestawie) ※ Obiektyw nie jest dołączony</v>
      </c>
      <c r="K217" s="43" t="s">
        <v>21</v>
      </c>
      <c r="L217" s="44">
        <v>510.0</v>
      </c>
      <c r="M217" s="8"/>
      <c r="N217" s="45" t="s">
        <v>22</v>
      </c>
      <c r="O217" s="97"/>
      <c r="P217" s="36"/>
      <c r="Q217" s="35"/>
      <c r="R217" s="68"/>
      <c r="S217" s="68"/>
      <c r="T217" s="68"/>
      <c r="U217" s="35"/>
      <c r="V217" s="35"/>
      <c r="W217" s="35"/>
      <c r="X217" s="35"/>
      <c r="Y217" s="35"/>
      <c r="Z217" s="35"/>
      <c r="AA217" s="35"/>
      <c r="AB217" s="35"/>
      <c r="AC217" s="60"/>
      <c r="AD217" s="85"/>
      <c r="AE217" s="85"/>
      <c r="AF217" s="85"/>
      <c r="AG217" s="85"/>
      <c r="AH217" s="85"/>
      <c r="AI217" s="85"/>
      <c r="AJ217" s="85"/>
      <c r="AK217" s="85"/>
      <c r="AL217" s="85"/>
      <c r="AM217" s="85"/>
      <c r="AN217" s="85"/>
      <c r="AO217" s="85"/>
      <c r="AP217" s="85"/>
    </row>
    <row r="218" ht="109.5" customHeight="1">
      <c r="A218" s="29"/>
      <c r="B218" s="38" t="s">
        <v>118</v>
      </c>
      <c r="C218" s="39" t="s">
        <v>711</v>
      </c>
      <c r="D218" s="40" t="s">
        <v>712</v>
      </c>
      <c r="E218" s="40" t="s">
        <v>168</v>
      </c>
      <c r="F218" s="40" t="s">
        <v>623</v>
      </c>
      <c r="G218" s="39" t="s">
        <v>18</v>
      </c>
      <c r="H218" s="41" t="s">
        <v>19</v>
      </c>
      <c r="I218" s="48" t="s">
        <v>713</v>
      </c>
      <c r="J218" s="42" t="str">
        <f>IFERROR(__xludf.DUMMYFUNCTION("GOOGLETRANSLATE(I218,""en"",""pl"")"),"Seria X zasilana przez zewnętrzną kamerę wandaloodporną Wisenet 5 z siecią IR, 2 MP @60 kl./s, Full HD (1080p), obiektyw z zoomem optycznym 5,2 ~ 62,4 mm (12x) (54,58°~5,30°), potrójny kodek H.265/H.264/MJPEG z WiseStream II, strumieniowanie wielokrotne, "&amp;"150 dB WDR, True Day &amp; Night (ICR), diody LED IR o dużej mocy z widoczną długością podczerwieni 70 m, zaawansowana analiza wideo i klasyfikacja dźwięku, widok z korytarza, wykrywanie ruchu, wykrywanie mgły, HLC, przekazywanie, cyfrowa stabilizacja obrazu "&amp;"z wbudowanym czujnikiem żyroskopowym, dwukierunkowy dźwięk i dwa gniazda SD/SDHC/SDXC, port USB ułatwiający instalację, IP67, IK10, Nema 4X, PoE/12 V DC/24 V AC")</f>
        <v>Seria X zasilana przez zewnętrzną kamerę wandaloodporną Wisenet 5 z siecią IR, 2 MP @60 kl./s, Full HD (1080p), obiektyw z zoomem optycznym 5,2 ~ 62,4 mm (12x) (54,58°~5,30°), potrójny kodek H.265/H.264/MJPEG z WiseStream II, strumieniowanie wielokrotne, 150 dB WDR, True Day &amp; Night (ICR), diody LED IR o dużej mocy z widoczną długością podczerwieni 70 m, zaawansowana analiza wideo i klasyfikacja dźwięku, widok z korytarza, wykrywanie ruchu, wykrywanie mgły, HLC, przekazywanie, cyfrowa stabilizacja obrazu z wbudowanym czujnikiem żyroskopowym, dwukierunkowy dźwięk i dwa gniazda SD/SDHC/SDXC, port USB ułatwiający instalację, IP67, IK10, Nema 4X, PoE/12 V DC/24 V AC</v>
      </c>
      <c r="K218" s="43" t="s">
        <v>21</v>
      </c>
      <c r="L218" s="44">
        <v>1330.0</v>
      </c>
      <c r="M218" s="8"/>
      <c r="N218" s="45" t="s">
        <v>22</v>
      </c>
      <c r="O218" s="97"/>
      <c r="P218" s="36"/>
      <c r="Q218" s="35"/>
      <c r="R218" s="68"/>
      <c r="S218" s="68"/>
      <c r="T218" s="68"/>
      <c r="U218" s="35"/>
      <c r="V218" s="35"/>
      <c r="W218" s="35"/>
      <c r="X218" s="35"/>
      <c r="Y218" s="35"/>
      <c r="Z218" s="35"/>
      <c r="AA218" s="35"/>
      <c r="AB218" s="35"/>
      <c r="AC218" s="60"/>
      <c r="AD218" s="85"/>
      <c r="AE218" s="85"/>
      <c r="AF218" s="85"/>
      <c r="AG218" s="85"/>
      <c r="AH218" s="85"/>
      <c r="AI218" s="85"/>
      <c r="AJ218" s="85"/>
      <c r="AK218" s="85"/>
      <c r="AL218" s="85"/>
      <c r="AM218" s="85"/>
      <c r="AN218" s="85"/>
      <c r="AO218" s="85"/>
      <c r="AP218" s="85"/>
    </row>
    <row r="219" ht="109.5" customHeight="1">
      <c r="A219" s="29"/>
      <c r="B219" s="38" t="s">
        <v>118</v>
      </c>
      <c r="C219" s="39" t="s">
        <v>714</v>
      </c>
      <c r="D219" s="40" t="s">
        <v>715</v>
      </c>
      <c r="E219" s="40" t="s">
        <v>168</v>
      </c>
      <c r="F219" s="40" t="s">
        <v>623</v>
      </c>
      <c r="G219" s="39" t="s">
        <v>18</v>
      </c>
      <c r="H219" s="41" t="s">
        <v>716</v>
      </c>
      <c r="I219" s="48" t="s">
        <v>717</v>
      </c>
      <c r="J219" s="42" t="str">
        <f>IFERROR(__xludf.DUMMYFUNCTION("GOOGLETRANSLATE(I219,""en"",""pl"")"),"Seria X zasilana przez zewnętrzną kamerę wandaloodporną typu bullet z siecią Wisenet 5 IR, eXtraLUX z przetwornikiem 1/2"" z obiektywem F0.94, 2MP @60fps, obiektyw zmiennoogniskowy z napędem silnikowym 4.1 ~ 16.4mm (optyczny 4x) (100°~26.2°), potrójny kod"&amp;"ek H.265/H.264/MJPEG z WiseStream II, strumieniowanie wielokrotne, WDR 150dB, True Day &amp; Night (ICR), diody LED IR o dużej mocy z widoczną długością podczerwieni 70m, zaawansowana analiza wideo i klasyfikacja dźwięku oraz analiza biznesowa, widok z koryta"&amp;"rza, wykrywanie ruchu, wykrywanie mgły, HLC, przekazywanie, cyfrowa stabilizacja obrazu z wbudowanym czujnikiem żyroskopowym, dwukierunkowy dźwięk i dwa gniazda SD/SDHC/SDXC, port USB ułatwiający instalację, IP67, IK10, Nema 4X, PoE/12VDC/24VAC")</f>
        <v>Seria X zasilana przez zewnętrzną kamerę wandaloodporną typu bullet z siecią Wisenet 5 IR, eXtraLUX z przetwornikiem 1/2" z obiektywem F0.94, 2MP @60fps, obiektyw zmiennoogniskowy z napędem silnikowym 4.1 ~ 16.4mm (optyczny 4x) (100°~26.2°), potrójny kodek H.265/H.264/MJPEG z WiseStream II, strumieniowanie wielokrotne, WDR 150dB, True Day &amp; Night (ICR), diody LED IR o dużej mocy z widoczną długością podczerwieni 70m, zaawansowana analiza wideo i klasyfikacja dźwięku oraz analiza biznesowa, widok z korytarza, wykrywanie ruchu, wykrywanie mgły, HLC, przekazywanie, cyfrowa stabilizacja obrazu z wbudowanym czujnikiem żyroskopowym, dwukierunkowy dźwięk i dwa gniazda SD/SDHC/SDXC, port USB ułatwiający instalację, IP67, IK10, Nema 4X, PoE/12VDC/24VAC</v>
      </c>
      <c r="K219" s="100" t="s">
        <v>21</v>
      </c>
      <c r="L219" s="44">
        <v>1606.0</v>
      </c>
      <c r="M219" s="8"/>
      <c r="N219" s="45" t="s">
        <v>22</v>
      </c>
      <c r="O219" s="97"/>
      <c r="P219" s="36"/>
      <c r="Q219" s="35"/>
      <c r="R219" s="68"/>
      <c r="S219" s="68"/>
      <c r="T219" s="68"/>
      <c r="U219" s="35"/>
      <c r="V219" s="35"/>
      <c r="W219" s="35"/>
      <c r="X219" s="35"/>
      <c r="Y219" s="35"/>
      <c r="Z219" s="35"/>
      <c r="AA219" s="35"/>
      <c r="AB219" s="35"/>
      <c r="AC219" s="60"/>
      <c r="AD219" s="85"/>
      <c r="AE219" s="85"/>
      <c r="AF219" s="85"/>
      <c r="AG219" s="85"/>
      <c r="AH219" s="85"/>
      <c r="AI219" s="85"/>
      <c r="AJ219" s="85"/>
      <c r="AK219" s="85"/>
      <c r="AL219" s="85"/>
      <c r="AM219" s="85"/>
      <c r="AN219" s="85"/>
      <c r="AO219" s="85"/>
      <c r="AP219" s="85"/>
    </row>
    <row r="220" ht="109.5" customHeight="1">
      <c r="A220" s="29"/>
      <c r="B220" s="38" t="s">
        <v>118</v>
      </c>
      <c r="C220" s="39" t="s">
        <v>718</v>
      </c>
      <c r="D220" s="40" t="s">
        <v>719</v>
      </c>
      <c r="E220" s="40" t="s">
        <v>168</v>
      </c>
      <c r="F220" s="40" t="s">
        <v>623</v>
      </c>
      <c r="G220" s="39" t="s">
        <v>18</v>
      </c>
      <c r="H220" s="41" t="s">
        <v>19</v>
      </c>
      <c r="I220" s="48" t="s">
        <v>720</v>
      </c>
      <c r="J220" s="42" t="str">
        <f>IFERROR(__xludf.DUMMYFUNCTION("GOOGLETRANSLATE(I220,""en"",""pl"")"),"Seria X zasilana przez zewnętrzną kamerę wandaloodporną typu bullet z kamerą sieciową IR Wisenet 5, 2 MP @60 kl./s, obiektyw zmiennoogniskowy 2,8 ~ 12,0 mm (4,3x) (119,5°~27,9°), potrójny kodek H.265/H.264/MJPEG z WiseStream II, strumieniowanie wielokrotn"&amp;"e, WDR 150 dB, True Day &amp; Night (ICR), diody LED IR o dużej mocy z widoczną długością podczerwieni 50 m, zaawansowana analiza wideo i klasyfikacja dźwięku, widok z korytarza, wykrywanie ruchu, wykrywanie mgły, HLC, przekazywanie, cyfrowa stabilizacja obra"&amp;"zu, dwukierunkowy dźwięk i dwa gniazda SD/SDHC/SDXC, port USB ułatwiający instalację, IP67, IK10, Nema 4X, PoE/12 V DC/24 V AC")</f>
        <v>Seria X zasilana przez zewnętrzną kamerę wandaloodporną typu bullet z kamerą sieciową IR Wisenet 5, 2 MP @60 kl./s, obiektyw zmiennoogniskowy 2,8 ~ 12,0 mm (4,3x) (119,5°~27,9°), potrójny kodek H.265/H.264/MJPEG z WiseStream II, strumieniowanie wielokrotne, WDR 150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SD/SDHC/SDXC, port USB ułatwiający instalację, IP67, IK10, Nema 4X, PoE/12 V DC/24 V AC</v>
      </c>
      <c r="K220" s="43" t="s">
        <v>21</v>
      </c>
      <c r="L220" s="44">
        <v>940.0</v>
      </c>
      <c r="M220" s="8"/>
      <c r="N220" s="45" t="s">
        <v>22</v>
      </c>
      <c r="O220" s="97"/>
      <c r="P220" s="36"/>
      <c r="Q220" s="35"/>
      <c r="R220" s="68"/>
      <c r="S220" s="68"/>
      <c r="T220" s="68"/>
      <c r="U220" s="35"/>
      <c r="V220" s="35"/>
      <c r="W220" s="35"/>
      <c r="X220" s="35"/>
      <c r="Y220" s="35"/>
      <c r="Z220" s="35"/>
      <c r="AA220" s="35"/>
      <c r="AB220" s="35"/>
      <c r="AC220" s="60"/>
      <c r="AD220" s="85"/>
      <c r="AE220" s="85"/>
      <c r="AF220" s="85"/>
      <c r="AG220" s="85"/>
      <c r="AH220" s="85"/>
      <c r="AI220" s="85"/>
      <c r="AJ220" s="85"/>
      <c r="AK220" s="85"/>
      <c r="AL220" s="85"/>
      <c r="AM220" s="85"/>
      <c r="AN220" s="85"/>
      <c r="AO220" s="85"/>
      <c r="AP220" s="85"/>
    </row>
    <row r="221" ht="109.5" customHeight="1">
      <c r="A221" s="29"/>
      <c r="B221" s="38" t="s">
        <v>118</v>
      </c>
      <c r="C221" s="39" t="s">
        <v>721</v>
      </c>
      <c r="D221" s="40" t="s">
        <v>719</v>
      </c>
      <c r="E221" s="40" t="s">
        <v>168</v>
      </c>
      <c r="F221" s="40" t="s">
        <v>623</v>
      </c>
      <c r="G221" s="39" t="s">
        <v>18</v>
      </c>
      <c r="H221" s="41" t="s">
        <v>19</v>
      </c>
      <c r="I221" s="48" t="s">
        <v>722</v>
      </c>
      <c r="J221" s="42" t="str">
        <f>IFERROR(__xludf.DUMMYFUNCTION("GOOGLETRANSLATE(I221,""en"",""pl"")"),"Seria X zasilana przez kamerę zewnętrzną typu bullet z podczerwienią Wisenet 5, 2 MP @60 kl./s, Full HD (1080p), obiektyw zmiennoogniskowy z napędem silnikowym 3,2 ~ 10 mm (3,1x) (109°~33,2°), potrójny kodek H.265/H.264/MJPEG z WiseStream II, strumieniowa"&amp;"nie wielokrotne, WDR 120 dB, True Day &amp; Night (ICR), widoczna długość podczerwieni 30 m, wykrywanie manipulacji, wykrywanie rozmycia, wykrywanie ruchu, wykrywanie mgły, widok korytarzowy, HLC, cyfrowa stabilizacja obrazu, pojedyncze gniazdo SD/SDHC/SDXC, "&amp;"port USB ułatwiający instalację, IP66, IK10, PoE")</f>
        <v>Seria X zasilana przez kamerę zewnętrzną typu bullet z podczerwienią Wisenet 5, 2 MP @60 kl./s, Full HD (1080p), obiektyw zmiennoogniskowy z napędem silnikowym 3,2 ~ 10 mm (3,1x) (109°~33,2°), potrójny kodek H.265/H.264/MJPEG z WiseStream II, strumieniowanie wielokrotne, WDR 120 dB, True Day &amp; Night (ICR), widoczna długość podczerwieni 30 m, wykrywanie manipulacji, wykrywanie rozmycia, wykrywanie ruchu, wykrywanie mgły, widok korytarzowy, HLC, cyfrowa stabilizacja obrazu, pojedyncze gniazdo SD/SDHC/SDXC, port USB ułatwiający instalację, IP66, IK10, PoE</v>
      </c>
      <c r="K221" s="43" t="s">
        <v>21</v>
      </c>
      <c r="L221" s="44">
        <v>753.0</v>
      </c>
      <c r="M221" s="8"/>
      <c r="N221" s="45" t="s">
        <v>22</v>
      </c>
      <c r="O221" s="97"/>
      <c r="P221" s="36"/>
      <c r="Q221" s="35"/>
      <c r="R221" s="68"/>
      <c r="S221" s="68"/>
      <c r="T221" s="68"/>
      <c r="U221" s="35"/>
      <c r="V221" s="35"/>
      <c r="W221" s="35"/>
      <c r="X221" s="35"/>
      <c r="Y221" s="35"/>
      <c r="Z221" s="35"/>
      <c r="AA221" s="35"/>
      <c r="AB221" s="35"/>
      <c r="AC221" s="60"/>
      <c r="AD221" s="85"/>
      <c r="AE221" s="85"/>
      <c r="AF221" s="85"/>
      <c r="AG221" s="85"/>
      <c r="AH221" s="85"/>
      <c r="AI221" s="85"/>
      <c r="AJ221" s="85"/>
      <c r="AK221" s="85"/>
      <c r="AL221" s="85"/>
      <c r="AM221" s="85"/>
      <c r="AN221" s="85"/>
      <c r="AO221" s="85"/>
      <c r="AP221" s="85"/>
    </row>
    <row r="222" ht="109.5" customHeight="1">
      <c r="A222" s="29"/>
      <c r="B222" s="38" t="s">
        <v>118</v>
      </c>
      <c r="C222" s="39" t="s">
        <v>723</v>
      </c>
      <c r="D222" s="40" t="s">
        <v>719</v>
      </c>
      <c r="E222" s="40" t="s">
        <v>168</v>
      </c>
      <c r="F222" s="40" t="s">
        <v>623</v>
      </c>
      <c r="G222" s="39" t="s">
        <v>18</v>
      </c>
      <c r="H222" s="41" t="s">
        <v>19</v>
      </c>
      <c r="I222" s="48" t="s">
        <v>724</v>
      </c>
      <c r="J222" s="42" t="str">
        <f>IFERROR(__xludf.DUMMYFUNCTION("GOOGLETRANSLATE(I222,""en"",""pl"")"),"Seria X zasilana przez zewnętrzną kamerę wandaloodporną typu bullet z siecią IR Wisenet 5, 2 MP @60 kl./s, obiektyw stałoogniskowy 2,4 mm (139°), potrójny kodek H.265/H.264/MJPEG z WiseStream II, strumieniowanie wielokrotne, WDR 150 dB, True Day &amp; Night ("&amp;"ICR), diody LED IR o dużej mocy z widoczną długością podczerwieni 20 m, zaawansowana analiza wideo i klasyfikacja dźwięku oraz analiza biznesowa, widok z korytarza, wykrywanie ruchu, wykrywanie mgły, HLC, przekazywanie, cyfrowa stabilizacja obrazu, dwukie"&amp;"runkowy dźwięk i dwa gniazda SD/SDHC/SDXC, port USB ułatwiający instalację, IP67, IK10, Nema 4X, PoE/12 V DC")</f>
        <v>Seria X zasilana przez zewnętrzną kamerę wandaloodporną typu bullet z siecią IR Wisenet 5, 2 MP @60 kl./s, obiektyw stałoogniskowy 2,4 mm (139°), potrójny kodek H.265/H.264/MJPEG z WiseStream II, strumieniowanie wielokrotne, WDR 150 dB, True Day &amp; Night (ICR), diody LED IR o dużej mocy z widoczną długością podczerwieni 20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222" s="43" t="s">
        <v>21</v>
      </c>
      <c r="L222" s="44">
        <v>506.0</v>
      </c>
      <c r="M222" s="8"/>
      <c r="N222" s="45" t="s">
        <v>22</v>
      </c>
      <c r="O222" s="97"/>
      <c r="P222" s="36"/>
      <c r="Q222" s="35"/>
      <c r="R222" s="68"/>
      <c r="S222" s="68"/>
      <c r="T222" s="68"/>
      <c r="U222" s="35"/>
      <c r="V222" s="35"/>
      <c r="W222" s="35"/>
      <c r="X222" s="35"/>
      <c r="Y222" s="35"/>
      <c r="Z222" s="35"/>
      <c r="AA222" s="35"/>
      <c r="AB222" s="35"/>
      <c r="AC222" s="60"/>
      <c r="AD222" s="85"/>
      <c r="AE222" s="85"/>
      <c r="AF222" s="85"/>
      <c r="AG222" s="85"/>
      <c r="AH222" s="85"/>
      <c r="AI222" s="85"/>
      <c r="AJ222" s="85"/>
      <c r="AK222" s="85"/>
      <c r="AL222" s="85"/>
      <c r="AM222" s="85"/>
      <c r="AN222" s="85"/>
      <c r="AO222" s="85"/>
      <c r="AP222" s="85"/>
    </row>
    <row r="223" ht="109.5" customHeight="1">
      <c r="A223" s="29"/>
      <c r="B223" s="38" t="s">
        <v>118</v>
      </c>
      <c r="C223" s="39" t="s">
        <v>725</v>
      </c>
      <c r="D223" s="40" t="s">
        <v>719</v>
      </c>
      <c r="E223" s="40" t="s">
        <v>168</v>
      </c>
      <c r="F223" s="40" t="s">
        <v>623</v>
      </c>
      <c r="G223" s="39" t="s">
        <v>18</v>
      </c>
      <c r="H223" s="41" t="s">
        <v>19</v>
      </c>
      <c r="I223" s="48" t="s">
        <v>726</v>
      </c>
      <c r="J223" s="42" t="str">
        <f>IFERROR(__xludf.DUMMYFUNCTION("GOOGLETRANSLATE(I223,""en"",""pl"")"),"Seria X zasilana przez zewnętrzną kamerę wandaloodporną typu bullet z siecią IR Wisenet 5, 2 MP @60 kl./s, obiektyw stałoogniskowy 4 mm (88,6°), potrójny kodek H.265/H.264/MJPEG z WiseStream II, strumieniowanie wielokrotne, WDR 150 dB, True Day &amp; Night (I"&amp;"CR), diody LED IR o dużej mocy z widoczną długością podczerwieni 30 m, zaawansowana analiza wideo i klasyfikacja dźwięku oraz analiza biznesowa, widok z korytarza, wykrywanie ruchu, wykrywanie mgły, HLC, przekazywanie, cyfrowa stabilizacja obrazu, dwukier"&amp;"unkowy dźwięk i dwa gniazda SD/SDHC/SDXC, port USB ułatwiający instalację, IP67, IK10, Nema 4X, PoE/12 V DC")</f>
        <v>Seria X zasilana przez zewnętrzną kamerę wandaloodporną typu bullet z siecią IR Wisenet 5, 2 MP @60 kl./s, obiektyw stałoogniskowy 4 mm (88,6°), potrójny kodek H.265/H.264/MJPEG z WiseStream II, strumieniowanie wielokrotne, WDR 150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223" s="43" t="s">
        <v>21</v>
      </c>
      <c r="L223" s="44">
        <v>506.0</v>
      </c>
      <c r="M223" s="8"/>
      <c r="N223" s="45" t="s">
        <v>22</v>
      </c>
      <c r="O223" s="97"/>
      <c r="P223" s="36"/>
      <c r="Q223" s="35"/>
      <c r="R223" s="68"/>
      <c r="S223" s="68"/>
      <c r="T223" s="68"/>
      <c r="U223" s="35"/>
      <c r="V223" s="35"/>
      <c r="W223" s="35"/>
      <c r="X223" s="35"/>
      <c r="Y223" s="35"/>
      <c r="Z223" s="35"/>
      <c r="AA223" s="35"/>
      <c r="AB223" s="35"/>
      <c r="AC223" s="60"/>
      <c r="AD223" s="85"/>
      <c r="AE223" s="85"/>
      <c r="AF223" s="85"/>
      <c r="AG223" s="85"/>
      <c r="AH223" s="85"/>
      <c r="AI223" s="85"/>
      <c r="AJ223" s="85"/>
      <c r="AK223" s="85"/>
      <c r="AL223" s="85"/>
      <c r="AM223" s="85"/>
      <c r="AN223" s="85"/>
      <c r="AO223" s="85"/>
      <c r="AP223" s="85"/>
    </row>
    <row r="224" ht="99.75" customHeight="1">
      <c r="A224" s="29"/>
      <c r="B224" s="38" t="s">
        <v>118</v>
      </c>
      <c r="C224" s="39" t="s">
        <v>727</v>
      </c>
      <c r="D224" s="40" t="s">
        <v>728</v>
      </c>
      <c r="E224" s="40" t="s">
        <v>168</v>
      </c>
      <c r="F224" s="40" t="s">
        <v>623</v>
      </c>
      <c r="G224" s="39" t="s">
        <v>192</v>
      </c>
      <c r="H224" s="41" t="s">
        <v>19</v>
      </c>
      <c r="I224" s="48" t="s">
        <v>729</v>
      </c>
      <c r="J224" s="42" t="str">
        <f>IFERROR(__xludf.DUMMYFUNCTION("GOOGLETRANSLATE(I224,""en"",""pl"")"),"Seria X zasilana przez kopułkową kamerę wewnętrzną Wisenet 5, 2 MP @60 kl./s, obiektyw zmiennoogniskowy z napędem silnikowym 2,8 ~ 12,0 mm (4,3x) (119,5°~27,9°), potrójny kodek H.265/H.264/MJPEG z WiseStream II, strumieniowanie wielokrotne, WDR 150 dB, Tr"&amp;"ue Day &amp; Night (ICR), zaawansowana analiza wideo i klasyfikacja dźwięku, widok korytarza, wykrywanie ruchu, wykrywanie mgły, HLC, przekazywanie, cyfrowa stabilizacja obrazu, dwukierunkowy dźwięk i dwa gniazda microSD/SDHC/SDXC, port USB ułatwiający instal"&amp;"ację, IK08, PoE/12 V DC")</f>
        <v>Seria X zasilana przez kopułkową kamerę wewnętrzną Wisenet 5, 2 MP @60 kl./s, obiektyw zmiennoogniskowy z napędem silnikowym 2,8 ~ 12,0 mm (4,3x) (119,5°~27,9°), potrójny kodek H.265/H.264/MJPEG z WiseStream II, strumieniowanie wielokrotne, WDR 150 dB, True Day &amp; Night (ICR), zaawansowana analiza wideo i klasyfikacja dźwięku, widok korytarza, wykrywanie ruchu, wykrywanie mgły, HLC, przekazywanie, cyfrowa stabilizacja obrazu, dwukierunkowy dźwięk i dwa gniazda microSD/SDHC/SDXC, port USB ułatwiający instalację, IK08, PoE/12 V DC</v>
      </c>
      <c r="K224" s="43" t="s">
        <v>21</v>
      </c>
      <c r="L224" s="44">
        <v>740.0</v>
      </c>
      <c r="M224" s="8"/>
      <c r="N224" s="45" t="s">
        <v>22</v>
      </c>
      <c r="O224" s="97"/>
      <c r="P224" s="36"/>
      <c r="Q224" s="35"/>
      <c r="R224" s="68"/>
      <c r="S224" s="68"/>
      <c r="T224" s="68"/>
      <c r="U224" s="35"/>
      <c r="V224" s="35"/>
      <c r="W224" s="35"/>
      <c r="X224" s="35"/>
      <c r="Y224" s="35"/>
      <c r="Z224" s="35"/>
      <c r="AA224" s="35"/>
      <c r="AB224" s="35"/>
      <c r="AC224" s="60"/>
      <c r="AD224" s="85"/>
      <c r="AE224" s="85"/>
      <c r="AF224" s="85"/>
      <c r="AG224" s="85"/>
      <c r="AH224" s="85"/>
      <c r="AI224" s="85"/>
      <c r="AJ224" s="85"/>
      <c r="AK224" s="85"/>
      <c r="AL224" s="85"/>
      <c r="AM224" s="85"/>
      <c r="AN224" s="85"/>
      <c r="AO224" s="85"/>
      <c r="AP224" s="85"/>
    </row>
    <row r="225" ht="99.75" customHeight="1">
      <c r="A225" s="29"/>
      <c r="B225" s="38" t="s">
        <v>118</v>
      </c>
      <c r="C225" s="39" t="s">
        <v>730</v>
      </c>
      <c r="D225" s="40" t="s">
        <v>731</v>
      </c>
      <c r="E225" s="40" t="s">
        <v>168</v>
      </c>
      <c r="F225" s="40" t="s">
        <v>623</v>
      </c>
      <c r="G225" s="39" t="s">
        <v>192</v>
      </c>
      <c r="H225" s="41" t="s">
        <v>19</v>
      </c>
      <c r="I225" s="48" t="s">
        <v>732</v>
      </c>
      <c r="J225" s="42" t="str">
        <f>IFERROR(__xludf.DUMMYFUNCTION("GOOGLETRANSLATE(I225,""en"",""pl"")"),"Seria X zasilana przez kopułkową kamerę wewnętrzną z zabezpieczeniem przed wandalizmem Wisenet 5, 2 MP @60 kl./s, obiektyw zmiennoogniskowy z napędem silnikowym 2,8 ~ 12,0 mm (4,3x) (119,5°~27,9°), potrójny kodek H.265/H.264/MJPEG z WiseStream II, strumie"&amp;"niowanie wielokrotne, WDR 150 dB, True Day &amp; Night (ICR), zaawansowana analiza wideo i klasyfikacja dźwięku, widok z korytarza, wykrywanie ruchu, wykrywanie mgły, HLC, przekazywanie, cyfrowa stabilizacja obrazu, dwukierunkowy dźwięk i dwa gniazda microSD/"&amp;"SDHC/SDXC, port USB ułatwiający instalację, IK08, PoE/12 V DC")</f>
        <v>Seria X zasilana przez kopułkową kamerę wewnętrzną z zabezpieczeniem przed wandalizmem Wisenet 5, 2 MP @60 kl./s, obiektyw zmiennoogniskowy z napędem silnikowym 2,8 ~ 12,0 mm (4,3x) (119,5°~27,9°), potrójny kodek H.265/H.264/MJPEG z WiseStream II, strumieniowanie wielokrotne, WDR 150 dB, True Day &amp; Night (ICR), zaawansowana analiza wideo i klasyfikacja dźwięku, widok z korytarza, wykrywanie ruchu, wykrywanie mgły, HLC, przekazywanie, cyfrowa stabilizacja obrazu, dwukierunkowy dźwięk i dwa gniazda microSD/SDHC/SDXC, port USB ułatwiający instalację, IK08, PoE/12 V DC</v>
      </c>
      <c r="K225" s="43" t="s">
        <v>21</v>
      </c>
      <c r="L225" s="44">
        <v>784.0</v>
      </c>
      <c r="M225" s="8"/>
      <c r="N225" s="45" t="s">
        <v>22</v>
      </c>
      <c r="O225" s="97"/>
      <c r="P225" s="36"/>
      <c r="Q225" s="35"/>
      <c r="R225" s="68"/>
      <c r="S225" s="68"/>
      <c r="T225" s="68"/>
      <c r="U225" s="35"/>
      <c r="V225" s="35"/>
      <c r="W225" s="35"/>
      <c r="X225" s="35"/>
      <c r="Y225" s="35"/>
      <c r="Z225" s="35"/>
      <c r="AA225" s="35"/>
      <c r="AB225" s="35"/>
      <c r="AC225" s="60"/>
      <c r="AD225" s="85"/>
      <c r="AE225" s="85"/>
      <c r="AF225" s="85"/>
      <c r="AG225" s="85"/>
      <c r="AH225" s="85"/>
      <c r="AI225" s="85"/>
      <c r="AJ225" s="85"/>
      <c r="AK225" s="85"/>
      <c r="AL225" s="85"/>
      <c r="AM225" s="85"/>
      <c r="AN225" s="85"/>
      <c r="AO225" s="85"/>
      <c r="AP225" s="85"/>
    </row>
    <row r="226" ht="99.75" customHeight="1">
      <c r="A226" s="29"/>
      <c r="B226" s="38" t="s">
        <v>118</v>
      </c>
      <c r="C226" s="39" t="s">
        <v>733</v>
      </c>
      <c r="D226" s="40" t="s">
        <v>695</v>
      </c>
      <c r="E226" s="40" t="s">
        <v>168</v>
      </c>
      <c r="F226" s="40" t="s">
        <v>623</v>
      </c>
      <c r="G226" s="39" t="s">
        <v>192</v>
      </c>
      <c r="H226" s="41" t="s">
        <v>19</v>
      </c>
      <c r="I226" s="48" t="s">
        <v>734</v>
      </c>
      <c r="J226" s="42" t="str">
        <f>IFERROR(__xludf.DUMMYFUNCTION("GOOGLETRANSLATE(I226,""en"",""pl"")"),"Seria X zasilana przez kopułkową kamerę wewnętrzną IR Wisenet 5, 2 MP @60fps, obiektyw zmiennoogniskowy 2,8 ~ 12,0 mm z napędem silnikowym (4,3x) (119,5°~27,9°), potrójny kodek H.265/H.264/MJPEG z WiseStream II, strumieniowanie wielokrotne, WDR 150 dB, Tr"&amp;"ue Day &amp; Night (ICR), diody LED IR o dużej mocy z widoczną długością podczerwieni 30 m, zaawansowana analiza wideo i klasyfikacja dźwięku, widok korytarza, wykrywanie ruchu, wykrywanie mgły, HLC, przekazywanie, cyfrowa stabilizacja obrazu, dwukierunkowy d"&amp;"źwięk i dwa gniazda microSD/SDHC/SDXC, port USB ułatwiający instalację, IK08, PoE/12 V DC")</f>
        <v>Seria X zasilana przez kopułkową kamerę wewnętrzną IR Wisenet 5, 2 MP @60fps, obiektyw zmiennoogniskowy 2,8 ~ 12,0 mm z napędem silnikowym (4,3x) (119,5°~27,9°), potrójny kodek H.265/H.264/MJPEG z WiseStream II, strumieniowanie wielokrotne, WDR 150 dB, True Day &amp; Night (ICR), diody LED IR o dużej mocy z widoczną długością podczerwieni 30 m, zaawansowana analiza wideo i klasyfikacja dźwięku, widok korytarza, wykrywanie ruchu, wykrywanie mgły, HLC, przekazywanie, cyfrowa stabilizacja obrazu, dwukierunkowy dźwięk i dwa gniazda microSD/SDHC/SDXC, port USB ułatwiający instalację, IK08, PoE/12 V DC</v>
      </c>
      <c r="K226" s="43" t="s">
        <v>21</v>
      </c>
      <c r="L226" s="44">
        <v>838.0</v>
      </c>
      <c r="M226" s="8"/>
      <c r="N226" s="45" t="s">
        <v>22</v>
      </c>
      <c r="O226" s="97"/>
      <c r="P226" s="36"/>
      <c r="Q226" s="35"/>
      <c r="R226" s="68"/>
      <c r="S226" s="68"/>
      <c r="T226" s="68"/>
      <c r="U226" s="35"/>
      <c r="V226" s="35"/>
      <c r="W226" s="35"/>
      <c r="X226" s="35"/>
      <c r="Y226" s="35"/>
      <c r="Z226" s="35"/>
      <c r="AA226" s="35"/>
      <c r="AB226" s="35"/>
      <c r="AC226" s="60"/>
      <c r="AD226" s="85"/>
      <c r="AE226" s="85"/>
      <c r="AF226" s="85"/>
      <c r="AG226" s="85"/>
      <c r="AH226" s="85"/>
      <c r="AI226" s="85"/>
      <c r="AJ226" s="85"/>
      <c r="AK226" s="85"/>
      <c r="AL226" s="85"/>
      <c r="AM226" s="85"/>
      <c r="AN226" s="85"/>
      <c r="AO226" s="85"/>
      <c r="AP226" s="85"/>
    </row>
    <row r="227" ht="99.75" customHeight="1">
      <c r="A227" s="29"/>
      <c r="B227" s="38" t="s">
        <v>118</v>
      </c>
      <c r="C227" s="39" t="s">
        <v>735</v>
      </c>
      <c r="D227" s="40" t="s">
        <v>736</v>
      </c>
      <c r="E227" s="40" t="s">
        <v>168</v>
      </c>
      <c r="F227" s="40" t="s">
        <v>623</v>
      </c>
      <c r="G227" s="39" t="s">
        <v>192</v>
      </c>
      <c r="H227" s="41" t="s">
        <v>19</v>
      </c>
      <c r="I227" s="48" t="s">
        <v>737</v>
      </c>
      <c r="J227" s="42" t="str">
        <f>IFERROR(__xludf.DUMMYFUNCTION("GOOGLETRANSLATE(I227,""en"",""pl"")"),"Seria X zasilana przez kopułkową kamerę wewnętrzną z podczerwienią Wisenet 5, 2 MP @60 kl./s, obiektyw zmiennoogniskowy z napędem silnikowym 2,8 ~ 12,0 mm (4,3x) (119,5°~27,9°), potrójny kodek H.265/H.264/MJPEG z WiseStream II, strumieniowanie wielokrotne"&amp;", WDR 150 dB, True Day &amp; Night (ICR), diody LED IR o dużej mocy z widoczną długością podczerwieni 30 m, zaawansowana analiza wideo i klasyfikacja dźwięku, widok z korytarza, wykrywanie ruchu, wykrywanie mgły, HLC, przekazywanie, cyfrowa stabilizacja obraz"&amp;"u, dwukierunkowy dźwięk i dwa gniazda microSD/SDHC/SDXC, port USB ułatwiający instalację, IK08, PoE/12 V DC")</f>
        <v>Seria X zasilana przez kopułkową kamerę wewnętrzną z podczerwienią Wisenet 5, 2 MP @60 kl./s, obiektyw zmiennoogniskowy z napędem silnikowym 2,8 ~ 12,0 mm (4,3x) (119,5°~27,9°), potrójny kodek H.265/H.264/MJPEG z WiseStream II, strumieniowanie wielokrotne, WDR 150 dB, True Day &amp; Night (ICR), diody LED IR o dużej mocy z widoczną długością podczerwieni 30 m, zaawansowana analiza wideo i klasyfikacja dźwięku, widok z korytarza, wykrywanie ruchu, wykrywanie mgły, HLC, przekazywanie, cyfrowa stabilizacja obrazu, dwukierunkowy dźwięk i dwa gniazda microSD/SDHC/SDXC, port USB ułatwiający instalację, IK08, PoE/12 V DC</v>
      </c>
      <c r="K227" s="43" t="s">
        <v>21</v>
      </c>
      <c r="L227" s="44">
        <v>894.0</v>
      </c>
      <c r="M227" s="8"/>
      <c r="N227" s="45" t="s">
        <v>22</v>
      </c>
      <c r="O227" s="97"/>
      <c r="P227" s="36"/>
      <c r="Q227" s="35"/>
      <c r="R227" s="68"/>
      <c r="S227" s="68"/>
      <c r="T227" s="68"/>
      <c r="U227" s="35"/>
      <c r="V227" s="35"/>
      <c r="W227" s="35"/>
      <c r="X227" s="35"/>
      <c r="Y227" s="35"/>
      <c r="Z227" s="35"/>
      <c r="AA227" s="35"/>
      <c r="AB227" s="35"/>
      <c r="AC227" s="60"/>
      <c r="AD227" s="85"/>
      <c r="AE227" s="85"/>
      <c r="AF227" s="85"/>
      <c r="AG227" s="85"/>
      <c r="AH227" s="85"/>
      <c r="AI227" s="85"/>
      <c r="AJ227" s="85"/>
      <c r="AK227" s="85"/>
      <c r="AL227" s="85"/>
      <c r="AM227" s="85"/>
      <c r="AN227" s="85"/>
      <c r="AO227" s="85"/>
      <c r="AP227" s="85"/>
    </row>
    <row r="228" ht="99.75" customHeight="1">
      <c r="A228" s="29"/>
      <c r="B228" s="38" t="s">
        <v>118</v>
      </c>
      <c r="C228" s="39" t="s">
        <v>738</v>
      </c>
      <c r="D228" s="40" t="s">
        <v>695</v>
      </c>
      <c r="E228" s="40" t="s">
        <v>168</v>
      </c>
      <c r="F228" s="40" t="s">
        <v>623</v>
      </c>
      <c r="G228" s="39" t="s">
        <v>192</v>
      </c>
      <c r="H228" s="41" t="s">
        <v>19</v>
      </c>
      <c r="I228" s="48" t="s">
        <v>739</v>
      </c>
      <c r="J228" s="42" t="str">
        <f>IFERROR(__xludf.DUMMYFUNCTION("GOOGLETRANSLATE(I228,""en"",""pl"")"),"Seria X zasilana przez kamerę kopułkową Wisenet 5 z siecią IR do zastosowań wewnętrznych, 2 MP @60 kl./s, obiektyw zmiennoogniskowy z napędem silnikowym 3,2 ~ 10,0 mm (3,1x) (109,0°~33,2°), potrójny kodek H.265/H.264/MJPEG z WiseStream II, strumieniowanie"&amp;" wielokrotne, WDR 120 dB, True Day &amp; Night (ICR), widoczna długość podczerwieni 20 m, wykrywanie manipulacji, wykrywanie rozmycia, wykrywanie ruchu, wykrywanie mgły, widok korytarzowy, HLC, cyfrowa stabilizacja obrazu, pojedyncze gniazdo SD/SDHC/SDXC, por"&amp;"t USB ułatwiający instalację, IK08, PoE")</f>
        <v>Seria X zasilana przez kamerę kopułkową Wisenet 5 z siecią IR do zastosowań wewnętrznych, 2 MP @60 kl./s, obiektyw zmiennoogniskowy z napędem silnikowym 3,2 ~ 10,0 mm (3,1x) (109,0°~33,2°), potrójny kodek H.265/H.264/MJPEG z WiseStream II, strumieniowanie wielokrotne, WDR 120 dB, True Day &amp; Night (ICR), widoczna długość podczerwieni 20 m, wykrywanie manipulacji, wykrywanie rozmycia, wykrywanie ruchu, wykrywanie mgły, widok korytarzowy, HLC, cyfrowa stabilizacja obrazu, pojedyncze gniazdo SD/SDHC/SDXC, port USB ułatwiający instalację, IK08, PoE</v>
      </c>
      <c r="K228" s="43" t="s">
        <v>21</v>
      </c>
      <c r="L228" s="44">
        <v>671.0</v>
      </c>
      <c r="M228" s="8"/>
      <c r="N228" s="45" t="s">
        <v>22</v>
      </c>
      <c r="O228" s="97"/>
      <c r="P228" s="36"/>
      <c r="Q228" s="35"/>
      <c r="R228" s="68"/>
      <c r="S228" s="68"/>
      <c r="T228" s="68"/>
      <c r="U228" s="35"/>
      <c r="V228" s="35"/>
      <c r="W228" s="35"/>
      <c r="X228" s="35"/>
      <c r="Y228" s="35"/>
      <c r="Z228" s="35"/>
      <c r="AA228" s="35"/>
      <c r="AB228" s="35"/>
      <c r="AC228" s="60"/>
      <c r="AD228" s="85"/>
      <c r="AE228" s="85"/>
      <c r="AF228" s="85"/>
      <c r="AG228" s="85"/>
      <c r="AH228" s="85"/>
      <c r="AI228" s="85"/>
      <c r="AJ228" s="85"/>
      <c r="AK228" s="85"/>
      <c r="AL228" s="85"/>
      <c r="AM228" s="85"/>
      <c r="AN228" s="85"/>
      <c r="AO228" s="85"/>
      <c r="AP228" s="85"/>
    </row>
    <row r="229" ht="99.75" customHeight="1">
      <c r="A229" s="29"/>
      <c r="B229" s="38" t="s">
        <v>118</v>
      </c>
      <c r="C229" s="39" t="s">
        <v>740</v>
      </c>
      <c r="D229" s="40" t="s">
        <v>695</v>
      </c>
      <c r="E229" s="40" t="s">
        <v>168</v>
      </c>
      <c r="F229" s="40" t="s">
        <v>623</v>
      </c>
      <c r="G229" s="39" t="s">
        <v>192</v>
      </c>
      <c r="H229" s="41" t="s">
        <v>19</v>
      </c>
      <c r="I229" s="48" t="s">
        <v>741</v>
      </c>
      <c r="J229" s="42" t="str">
        <f>IFERROR(__xludf.DUMMYFUNCTION("GOOGLETRANSLATE(I229,""en"",""pl"")"),"Seria X zasilana przez kopułkową kamerę wewnętrzną IR Wisenet 5, 2 MP @60 kl./s, obiektyw stałoogniskowy 4 mm (88,6°), potrójny kodek H.265/H.264/MJPEG z WiseStream II, strumieniowanie wielokrotne, WDR 150 dB, True Day &amp; Night (ICR), diody LED IR o dużej "&amp;"mocy z widoczną długością podczerwieni 30 m, zaawansowana analiza wideo i klasyfikacja dźwięku oraz analiza biznesowa, widok z korytarza, wykrywanie ruchu, wykrywanie mgły, HLC, przekazywanie, cyfrowa stabilizacja obrazu, dwukierunkowy dźwięk i dwa gniazd"&amp;"a microSD/SDHC/SDXC, port USB ułatwiający instalację, IK08, PoE/12 V DC")</f>
        <v>Seria X zasilana przez kopułkową kamerę wewnętrzną IR Wisenet 5, 2 MP @60 kl./s, obiektyw stałoogniskowy 4 mm (88,6°), potrójny kodek H.265/H.264/MJPEG z WiseStream II, strumieniowanie wielokrotne, WDR 150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IK08, PoE/12 V DC</v>
      </c>
      <c r="K229" s="43" t="s">
        <v>21</v>
      </c>
      <c r="L229" s="44">
        <v>470.0</v>
      </c>
      <c r="M229" s="8"/>
      <c r="N229" s="45" t="s">
        <v>22</v>
      </c>
      <c r="O229" s="97"/>
      <c r="P229" s="36"/>
      <c r="Q229" s="35"/>
      <c r="R229" s="68"/>
      <c r="S229" s="68"/>
      <c r="T229" s="68"/>
      <c r="U229" s="35"/>
      <c r="V229" s="35"/>
      <c r="W229" s="35"/>
      <c r="X229" s="35"/>
      <c r="Y229" s="35"/>
      <c r="Z229" s="35"/>
      <c r="AA229" s="35"/>
      <c r="AB229" s="35"/>
      <c r="AC229" s="60"/>
      <c r="AD229" s="85"/>
      <c r="AE229" s="85"/>
      <c r="AF229" s="85"/>
      <c r="AG229" s="85"/>
      <c r="AH229" s="85"/>
      <c r="AI229" s="85"/>
      <c r="AJ229" s="85"/>
      <c r="AK229" s="85"/>
      <c r="AL229" s="85"/>
      <c r="AM229" s="85"/>
      <c r="AN229" s="85"/>
      <c r="AO229" s="85"/>
      <c r="AP229" s="85"/>
    </row>
    <row r="230" ht="99.75" customHeight="1">
      <c r="A230" s="29"/>
      <c r="B230" s="38" t="s">
        <v>118</v>
      </c>
      <c r="C230" s="39" t="s">
        <v>742</v>
      </c>
      <c r="D230" s="40" t="s">
        <v>743</v>
      </c>
      <c r="E230" s="40" t="s">
        <v>168</v>
      </c>
      <c r="F230" s="40" t="s">
        <v>623</v>
      </c>
      <c r="G230" s="39" t="s">
        <v>192</v>
      </c>
      <c r="H230" s="41" t="s">
        <v>19</v>
      </c>
      <c r="I230" s="48" t="s">
        <v>744</v>
      </c>
      <c r="J230" s="42" t="str">
        <f>IFERROR(__xludf.DUMMYFUNCTION("GOOGLETRANSLATE(I230,""en"",""pl"")"),"Seria X oparta na kamerze kopułkowej z montażem podtynkowym Wisenet 5, 2 MP @60 kl./s, obiektyw stałoogniskowy 2,8 mm (112°), potrójny kodek H.265/H.264/MJPEG z WiseStream II, strumieniowanie wielokrotne, WDR 150 dB, elektroniczny tryb dzień/noc, zaawanso"&amp;"wana analiza wideo i klasyfikacja dźwięku oraz analiza biznesowa, widok z korytarza, wykrywanie ruchu, wykrywanie mgły, HLC, przekazywanie, cyfrowa stabilizacja obrazu, wbudowany mikrofon, dźwięk jednokierunkowy i gniazdo SD/SDHC/SDXC, port USB ułatwiając"&amp;"y instalację, PoE")</f>
        <v>Seria X oparta na kamerze kopułkowej z montażem podtynkowym Wisenet 5, 2 MP @60 kl./s, obiektyw stałoogniskowy 2,8 mm (112°), potrójny kodek H.265/H.264/MJPEG z WiseStream II, strumieniowanie wielokrotne, WDR 150 dB, elektroniczny tryb dzień/noc, zaawansowana analiza wideo i klasyfikacja dźwięku oraz analiza biznesowa, widok z korytarza, wykrywanie ruchu, wykrywanie mgły, HLC, przekazywanie, cyfrowa stabilizacja obrazu, wbudowany mikrofon, dźwięk jednokierunkowy i gniazdo SD/SDHC/SDXC, port USB ułatwiający instalację, PoE</v>
      </c>
      <c r="K230" s="43" t="s">
        <v>21</v>
      </c>
      <c r="L230" s="44">
        <v>492.0</v>
      </c>
      <c r="M230" s="8"/>
      <c r="N230" s="45" t="s">
        <v>22</v>
      </c>
      <c r="O230" s="97"/>
      <c r="P230" s="36"/>
      <c r="Q230" s="35"/>
      <c r="R230" s="68"/>
      <c r="S230" s="68"/>
      <c r="T230" s="68"/>
      <c r="U230" s="35"/>
      <c r="V230" s="35"/>
      <c r="W230" s="35"/>
      <c r="X230" s="35"/>
      <c r="Y230" s="35"/>
      <c r="Z230" s="35"/>
      <c r="AA230" s="35"/>
      <c r="AB230" s="35"/>
      <c r="AC230" s="60"/>
      <c r="AD230" s="85"/>
      <c r="AE230" s="85"/>
      <c r="AF230" s="85"/>
      <c r="AG230" s="85"/>
      <c r="AH230" s="85"/>
      <c r="AI230" s="85"/>
      <c r="AJ230" s="85"/>
      <c r="AK230" s="85"/>
      <c r="AL230" s="85"/>
      <c r="AM230" s="85"/>
      <c r="AN230" s="85"/>
      <c r="AO230" s="85"/>
      <c r="AP230" s="85"/>
    </row>
    <row r="231" ht="99.75" customHeight="1">
      <c r="A231" s="29"/>
      <c r="B231" s="38" t="s">
        <v>118</v>
      </c>
      <c r="C231" s="39" t="s">
        <v>745</v>
      </c>
      <c r="D231" s="40" t="s">
        <v>728</v>
      </c>
      <c r="E231" s="40" t="s">
        <v>168</v>
      </c>
      <c r="F231" s="40" t="s">
        <v>623</v>
      </c>
      <c r="G231" s="39" t="s">
        <v>192</v>
      </c>
      <c r="H231" s="41" t="s">
        <v>19</v>
      </c>
      <c r="I231" s="48" t="s">
        <v>746</v>
      </c>
      <c r="J231" s="42" t="str">
        <f>IFERROR(__xludf.DUMMYFUNCTION("GOOGLETRANSLATE(I231,""en"",""pl"")"),"Seria X z kopułkową kamerą sieciową Wisenet 5 do użytku wewnątrz pomieszczeń, 2 MP @60 kl./s, obiektyw stałoogniskowy 2,4 mm (139°), potrójny kodek H.265/H.264/MJPEG z technologią WiseStream II, strumieniowanie wielokrotne, WDR 150 dB, funkcja True Day &amp; "&amp;"Night (ICR), zaawansowana analiza wideo i klasyfikacja dźwięku oraz analiza biznesowa, widok z korytarza, wykrywanie ruchu, wykrywanie mgły, HLC, przekazywanie, cyfrowa stabilizacja obrazu, dwukierunkowy dźwięk i dwa gniazda na karty SD/SDHC/SDXC, IK08, P"&amp;"oE/12 V DC")</f>
        <v>Seria X z kopułkową kamerą sieciową Wisenet 5 do użytku wewnątrz pomieszczeń, 2 MP @60 kl./s, obiektyw stałoogniskowy 2,4 mm (139°), potrójny kodek H.265/H.264/MJPEG z technologią WiseStream II, strumieniowanie wielokrotne, WDR 150 dB, funkcja True Day &amp; Night (ICR), zaawansowana analiza wideo i klasyfikacja dźwięku oraz analiza biznesowa, widok z korytarza, wykrywanie ruchu, wykrywanie mgły, HLC, przekazywanie, cyfrowa stabilizacja obrazu, dwukierunkowy dźwięk i dwa gniazda na karty SD/SDHC/SDXC, IK08, PoE/12 V DC</v>
      </c>
      <c r="K231" s="43" t="s">
        <v>21</v>
      </c>
      <c r="L231" s="44">
        <v>470.0</v>
      </c>
      <c r="M231" s="8"/>
      <c r="N231" s="45" t="s">
        <v>22</v>
      </c>
      <c r="O231" s="97"/>
      <c r="P231" s="36"/>
      <c r="Q231" s="35"/>
      <c r="R231" s="68"/>
      <c r="S231" s="68"/>
      <c r="T231" s="68"/>
      <c r="U231" s="35"/>
      <c r="V231" s="35"/>
      <c r="W231" s="35"/>
      <c r="X231" s="35"/>
      <c r="Y231" s="35"/>
      <c r="Z231" s="35"/>
      <c r="AA231" s="35"/>
      <c r="AB231" s="35"/>
      <c r="AC231" s="60"/>
      <c r="AD231" s="85"/>
      <c r="AE231" s="85"/>
      <c r="AF231" s="85"/>
      <c r="AG231" s="85"/>
      <c r="AH231" s="85"/>
      <c r="AI231" s="85"/>
      <c r="AJ231" s="85"/>
      <c r="AK231" s="85"/>
      <c r="AL231" s="85"/>
      <c r="AM231" s="85"/>
      <c r="AN231" s="85"/>
      <c r="AO231" s="85"/>
      <c r="AP231" s="85"/>
    </row>
    <row r="232" ht="109.5" customHeight="1">
      <c r="A232" s="29"/>
      <c r="B232" s="38" t="s">
        <v>118</v>
      </c>
      <c r="C232" s="39" t="s">
        <v>747</v>
      </c>
      <c r="D232" s="40" t="s">
        <v>748</v>
      </c>
      <c r="E232" s="40" t="s">
        <v>168</v>
      </c>
      <c r="F232" s="40" t="s">
        <v>623</v>
      </c>
      <c r="G232" s="39" t="s">
        <v>184</v>
      </c>
      <c r="H232" s="41" t="s">
        <v>749</v>
      </c>
      <c r="I232" s="48" t="s">
        <v>750</v>
      </c>
      <c r="J232" s="42" t="str">
        <f>IFERROR(__xludf.DUMMYFUNCTION("GOOGLETRANSLATE(I232,""en"",""pl"")"),"Seria X zasilana przez zewnętrzną kamerę kopułkową Wisenet 5 z siecią IR, zabezpieczoną przed wandalizmem, 2 MP @60 kl./s, Full HD (1080p), obiektyw z zoomem optycznym 5,2 ~ 62,4 mm (12x) (54,58°~5,30°), potrójny kodek H.265/H.264/MJPEG z WiseStream II, s"&amp;"trumieniowanie wielokrotne, WDR 150 dB, True Day &amp; Night (ICR), diody LED IR o dużej mocy z widoczną długością podczerwieni 70 m, zaawansowana analiza wideo i klasyfikacja dźwięku, widok z korytarza, wykrywanie ruchu, wykrywanie mgły, HLC, przekazywanie, "&amp;"cyfrowa stabilizacja obrazu z wbudowanym czujnikiem żyroskopowym, dwukierunkowy dźwięk i dwa gniazda microSD/SDHC/SDXC, port USB ułatwiający instalację, IP67, IK10, Nema 4X, PoE/12 V DC/24 V AC")</f>
        <v>Seria X zasilana przez zewnętrzną kamerę kopułkową Wisenet 5 z siecią IR, zabezpieczoną przed wandalizmem, 2 MP @60 kl./s, Full HD (1080p), obiektyw z zoomem optycznym 5,2 ~ 62,4 mm (12x) (54,58°~5,30°), potrójny kodek H.265/H.264/MJPEG z WiseStream II, strumieniowanie wielokrotne, WDR 150 dB, True Day &amp; Night (ICR), diody LED IR o dużej mocy z widoczną długością podczerwieni 70 m, zaawansowana analiza wideo i klasyfikacja dźwięku, widok z korytarza, wykrywanie ruchu, wykrywanie mgły, HLC, przekazywanie, cyfrowa stabilizacja obrazu z wbudowanym czujnikiem żyroskopowym, dwukierunkowy dźwięk i dwa gniazda microSD/SDHC/SDXC, port USB ułatwiający instalację, IP67, IK10, Nema 4X, PoE/12 V DC/24 V AC</v>
      </c>
      <c r="K232" s="43" t="s">
        <v>21</v>
      </c>
      <c r="L232" s="44">
        <v>1360.0</v>
      </c>
      <c r="M232" s="8"/>
      <c r="N232" s="45" t="s">
        <v>22</v>
      </c>
      <c r="O232" s="97"/>
      <c r="P232" s="36"/>
      <c r="Q232" s="35"/>
      <c r="R232" s="68"/>
      <c r="S232" s="68"/>
      <c r="T232" s="68"/>
      <c r="U232" s="35"/>
      <c r="V232" s="35"/>
      <c r="W232" s="35"/>
      <c r="X232" s="35"/>
      <c r="Y232" s="35"/>
      <c r="Z232" s="35"/>
      <c r="AA232" s="35"/>
      <c r="AB232" s="35"/>
      <c r="AC232" s="60"/>
      <c r="AD232" s="85"/>
      <c r="AE232" s="85"/>
      <c r="AF232" s="85"/>
      <c r="AG232" s="85"/>
      <c r="AH232" s="85"/>
      <c r="AI232" s="85"/>
      <c r="AJ232" s="85"/>
      <c r="AK232" s="85"/>
      <c r="AL232" s="85"/>
      <c r="AM232" s="85"/>
      <c r="AN232" s="85"/>
      <c r="AO232" s="85"/>
      <c r="AP232" s="85"/>
    </row>
    <row r="233" ht="99.75" customHeight="1">
      <c r="A233" s="29"/>
      <c r="B233" s="38" t="s">
        <v>118</v>
      </c>
      <c r="C233" s="39" t="s">
        <v>751</v>
      </c>
      <c r="D233" s="40" t="s">
        <v>700</v>
      </c>
      <c r="E233" s="40" t="s">
        <v>168</v>
      </c>
      <c r="F233" s="40" t="s">
        <v>623</v>
      </c>
      <c r="G233" s="39" t="s">
        <v>184</v>
      </c>
      <c r="H233" s="41" t="s">
        <v>19</v>
      </c>
      <c r="I233" s="48" t="s">
        <v>752</v>
      </c>
      <c r="J233" s="42" t="str">
        <f>IFERROR(__xludf.DUMMYFUNCTION("GOOGLETRANSLATE(I233,""en"",""pl"")"),"Seria X zasilana przez zewnętrzną kamerę kopułkową Wisenet 5, 2 MP @60fps, obiektyw zmiennoogniskowy z napędem silnikowym 2,8 ~ 12,0 mm (4,3x) (119,5°~27,9°), potrójny kodek H.265/H.264/MJPEG z WiseStream II, strumieniowanie wielokrotne, WDR 150 dB, True "&amp;"Day &amp; Night (ICR), zaawansowana analiza wideo i klasyfikacja dźwięku, widok korytarza, wykrywanie ruchu, wykrywanie mgły, HLC, przekazywanie, cyfrowa stabilizacja obrazu, dwukierunkowy dźwięk i dwa gniazda microSD/SDHC/SDXC, port USB ułatwiający instalacj"&amp;"ę, IP67/IP66, IK10, Nema 4X, PoE/12 V DC/24 V AC")</f>
        <v>Seria X zasilana przez zewnętrzną kamerę kopułkową Wisenet 5, 2 MP @60fps, obiektyw zmiennoogniskowy z napędem silnikowym 2,8 ~ 12,0 mm (4,3x) (119,5°~27,9°), potrójny kodek H.265/H.264/MJPEG z WiseStream II, strumieniowanie wielokrotne, WDR 150 dB, True Day &amp; Night (ICR), zaawansowana analiza wideo i klasyfikacja dźwięku, widok korytarza, wykrywanie ruchu, wykrywanie mgły, HLC, przekazywanie, cyfrowa stabilizacja obrazu, dwukierunkowy dźwięk i dwa gniazda microSD/SDHC/SDXC, port USB ułatwiający instalację, IP67/IP66, IK10, Nema 4X, PoE/12 V DC/24 V AC</v>
      </c>
      <c r="K233" s="43" t="s">
        <v>21</v>
      </c>
      <c r="L233" s="44">
        <v>964.0</v>
      </c>
      <c r="M233" s="8"/>
      <c r="N233" s="45" t="s">
        <v>22</v>
      </c>
      <c r="O233" s="97"/>
      <c r="P233" s="36"/>
      <c r="Q233" s="35"/>
      <c r="R233" s="68"/>
      <c r="S233" s="68"/>
      <c r="T233" s="68"/>
      <c r="U233" s="35"/>
      <c r="V233" s="35"/>
      <c r="W233" s="35"/>
      <c r="X233" s="35"/>
      <c r="Y233" s="35"/>
      <c r="Z233" s="35"/>
      <c r="AA233" s="35"/>
      <c r="AB233" s="35"/>
      <c r="AC233" s="60"/>
      <c r="AD233" s="85"/>
      <c r="AE233" s="85"/>
      <c r="AF233" s="85"/>
      <c r="AG233" s="85"/>
      <c r="AH233" s="85"/>
      <c r="AI233" s="85"/>
      <c r="AJ233" s="85"/>
      <c r="AK233" s="85"/>
      <c r="AL233" s="85"/>
      <c r="AM233" s="85"/>
      <c r="AN233" s="85"/>
      <c r="AO233" s="85"/>
      <c r="AP233" s="85"/>
    </row>
    <row r="234" ht="99.75" customHeight="1">
      <c r="A234" s="29"/>
      <c r="B234" s="38" t="s">
        <v>118</v>
      </c>
      <c r="C234" s="39" t="s">
        <v>753</v>
      </c>
      <c r="D234" s="40" t="s">
        <v>691</v>
      </c>
      <c r="E234" s="40" t="s">
        <v>168</v>
      </c>
      <c r="F234" s="40" t="s">
        <v>623</v>
      </c>
      <c r="G234" s="39" t="s">
        <v>184</v>
      </c>
      <c r="H234" s="41" t="s">
        <v>19</v>
      </c>
      <c r="I234" s="48" t="s">
        <v>754</v>
      </c>
      <c r="J234" s="42" t="str">
        <f>IFERROR(__xludf.DUMMYFUNCTION("GOOGLETRANSLATE(I234,""en"",""pl"")"),"Seria X zasilana przez zewnętrzną kamerę kopułkową Wisenet 5 z podczerwienią, zabezpieczoną przed wandalizmem, 2 MP @60 kl./s, obiektyw zmiennoogniskowy z napędem silnikowym 2,8 ~ 12,0 mm (4,3x) (119,5°~27,9°), potrójny kodek H.265/H.264/MJPEG z WiseStrea"&amp;"m II, strumieniowanie wielokrotne, WDR 150 dB, True Day &amp; Night (ICR), diody LED IR o dużej mocy z widoczną długością podczerwieni 50 m, zaawansowana analiza wideo i klasyfikacja dźwięku, widok z korytarza, wykrywanie ruchu, wykrywanie mgły, HLC, przekazy"&amp;"wanie, cyfrowa stabilizacja obrazu, dwukierunkowy dźwięk i dwa gniazda microSD/SDHC/SDXC, port USB ułatwiający instalację, IP67/IP66, IK10, Nema 4X, PoE/12 V DC/24 V AC")</f>
        <v>Seria X zasilana przez zewnętrzną kamerę kopułkową Wisenet 5 z podczerwienią, zabezpieczoną przed wandalizmem, 2 MP @60 kl./s, obiektyw zmiennoogniskowy z napędem silnikowym 2,8 ~ 12,0 mm (4,3x) (119,5°~27,9°), potrójny kodek H.265/H.264/MJPEG z WiseStream II, strumieniowanie wielokrotne, WDR 150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microSD/SDHC/SDXC, port USB ułatwiający instalację, IP67/IP66, IK10, Nema 4X, PoE/12 V DC/24 V AC</v>
      </c>
      <c r="K234" s="43" t="s">
        <v>21</v>
      </c>
      <c r="L234" s="44">
        <v>1048.0</v>
      </c>
      <c r="M234" s="8"/>
      <c r="N234" s="45" t="s">
        <v>22</v>
      </c>
      <c r="O234" s="97"/>
      <c r="P234" s="36"/>
      <c r="Q234" s="35"/>
      <c r="R234" s="68"/>
      <c r="S234" s="68"/>
      <c r="T234" s="68"/>
      <c r="U234" s="35"/>
      <c r="V234" s="35"/>
      <c r="W234" s="35"/>
      <c r="X234" s="35"/>
      <c r="Y234" s="35"/>
      <c r="Z234" s="35"/>
      <c r="AA234" s="35"/>
      <c r="AB234" s="35"/>
      <c r="AC234" s="60"/>
      <c r="AD234" s="85"/>
      <c r="AE234" s="85"/>
      <c r="AF234" s="85"/>
      <c r="AG234" s="85"/>
      <c r="AH234" s="85"/>
      <c r="AI234" s="85"/>
      <c r="AJ234" s="85"/>
      <c r="AK234" s="85"/>
      <c r="AL234" s="85"/>
      <c r="AM234" s="85"/>
      <c r="AN234" s="85"/>
      <c r="AO234" s="85"/>
      <c r="AP234" s="85"/>
    </row>
    <row r="235" ht="99.75" customHeight="1">
      <c r="A235" s="29"/>
      <c r="B235" s="38" t="s">
        <v>118</v>
      </c>
      <c r="C235" s="39" t="s">
        <v>755</v>
      </c>
      <c r="D235" s="40" t="s">
        <v>756</v>
      </c>
      <c r="E235" s="40" t="s">
        <v>168</v>
      </c>
      <c r="F235" s="40" t="s">
        <v>623</v>
      </c>
      <c r="G235" s="39" t="s">
        <v>184</v>
      </c>
      <c r="H235" s="41" t="s">
        <v>19</v>
      </c>
      <c r="I235" s="48" t="s">
        <v>757</v>
      </c>
      <c r="J235" s="42" t="str">
        <f>IFERROR(__xludf.DUMMYFUNCTION("GOOGLETRANSLATE(I235,""en"",""pl"")"),"Seria X zasilana przez kamerę kopułkową Wisenet 5 z podczerwienią, zewnętrzną, ze stali nierdzewnej, zabezpieczoną przed wandalizmem, 2 MP @60 kl./s, obiektyw zmiennoogniskowy 2,8 ~ 12,0 mm (4,3x) (119,5°~27,9°), potrójny kodek H.265/H.264/MJPEG z WiseStr"&amp;"eam II, strumieniowanie wielokrotne, WDR 150 dB, True Day &amp; Night (ICR), diody LED IR o dużej mocy z widoczną długością podczerwieni 50 m, zaawansowana analiza wideo i klasyfikacja dźwięku, widok z korytarza, wykrywanie ruchu, wykrywanie mgły, HLC, przeka"&amp;"zywanie, cyfrowa stabilizacja obrazu, dwukierunkowy dźwięk i dwa gniazda microSD/SDHC/SDXC, port USB ułatwiający instalację, IP66, IP6K9K, IK10+, Nema 4X, PoE/12 V DC/24 V AC")</f>
        <v>Seria X zasilana przez kamerę kopułkową Wisenet 5 z podczerwienią, zewnętrzną, ze stali nierdzewnej, zabezpieczoną przed wandalizmem, 2 MP @60 kl./s, obiektyw zmiennoogniskowy 2,8 ~ 12,0 mm (4,3x) (119,5°~27,9°), potrójny kodek H.265/H.264/MJPEG z WiseStream II, strumieniowanie wielokrotne, WDR 150 dB, True Day &amp; Night (ICR), diody LED IR o dużej mocy z widoczną długością podczerwieni 50 m, zaawansowana analiza wideo i klasyfikacja dźwięku, widok z korytarza, wykrywanie ruchu, wykrywanie mgły, HLC, przekazywanie, cyfrowa stabilizacja obrazu, dwukierunkowy dźwięk i dwa gniazda microSD/SDHC/SDXC, port USB ułatwiający instalację, IP66, IP6K9K, IK10+, Nema 4X, PoE/12 V DC/24 V AC</v>
      </c>
      <c r="K235" s="43" t="s">
        <v>21</v>
      </c>
      <c r="L235" s="44">
        <v>1970.0</v>
      </c>
      <c r="M235" s="8"/>
      <c r="N235" s="45" t="s">
        <v>22</v>
      </c>
      <c r="O235" s="97"/>
      <c r="P235" s="36"/>
      <c r="Q235" s="35"/>
      <c r="R235" s="68"/>
      <c r="S235" s="68"/>
      <c r="T235" s="68"/>
      <c r="U235" s="35"/>
      <c r="V235" s="35"/>
      <c r="W235" s="35"/>
      <c r="X235" s="35"/>
      <c r="Y235" s="35"/>
      <c r="Z235" s="35"/>
      <c r="AA235" s="35"/>
      <c r="AB235" s="35"/>
      <c r="AC235" s="60"/>
      <c r="AD235" s="85"/>
      <c r="AE235" s="85"/>
      <c r="AF235" s="85"/>
      <c r="AG235" s="85"/>
      <c r="AH235" s="85"/>
      <c r="AI235" s="85"/>
      <c r="AJ235" s="85"/>
      <c r="AK235" s="85"/>
      <c r="AL235" s="85"/>
      <c r="AM235" s="85"/>
      <c r="AN235" s="85"/>
      <c r="AO235" s="85"/>
      <c r="AP235" s="85"/>
    </row>
    <row r="236" ht="99.75" customHeight="1">
      <c r="A236" s="29"/>
      <c r="B236" s="38" t="s">
        <v>118</v>
      </c>
      <c r="C236" s="39" t="s">
        <v>758</v>
      </c>
      <c r="D236" s="40" t="s">
        <v>759</v>
      </c>
      <c r="E236" s="40" t="s">
        <v>168</v>
      </c>
      <c r="F236" s="40" t="s">
        <v>623</v>
      </c>
      <c r="G236" s="39" t="s">
        <v>184</v>
      </c>
      <c r="H236" s="41" t="s">
        <v>19</v>
      </c>
      <c r="I236" s="48" t="s">
        <v>760</v>
      </c>
      <c r="J236" s="42" t="str">
        <f>IFERROR(__xludf.DUMMYFUNCTION("GOOGLETRANSLATE(I236,""en"",""pl"")"),"Seria X zasilana przez zewnętrzną kamerę kopułkową Wisenet 5 z podczerwienią, zabezpieczoną przed wandalizmem, 2 MP @60 kl./s, obiektyw stałoogniskowy 3,6 mm (94,8°), potrójny kodek H.265/H.264/MJPEG z WiseStream II, strumieniowanie wielokrotne, WDR 150 d"&amp;"B, True Day &amp; Night (ICR), widoczna długość podczerwieni 15 m, zaawansowana analiza wideo i klasyfikacja dźwięku, widok korytarza, wykrywanie ruchu, wykrywanie mgły, HLC, przekazywanie, cyfrowa stabilizacja obrazu, dwukierunkowy dźwięk i gniazdo SD/SDHC/S"&amp;"DXC, port USB umożliwiający łatwą instalację, IP66, IK10, NEMA 4X, PoE")</f>
        <v>Seria X zasilana przez zewnętrzną kamerę kopułkową Wisenet 5 z podczerwienią, zabezpieczoną przed wandalizmem, 2 MP @60 kl./s, obiektyw stałoogniskowy 3,6 mm (94,8°), potrójny kodek H.265/H.264/MJPEG z WiseStream II, strumieniowanie wielokrotne, WDR 150 dB, True Day &amp; Night (ICR), widoczna długość podczerwieni 15 m, zaawansowana analiza wideo i klasyfikacja dźwięku, widok korytarza, wykrywanie ruchu, wykrywanie mgły, HLC, przekazywanie, cyfrowa stabilizacja obrazu, dwukierunkowy dźwięk i gniazdo SD/SDHC/SDXC, port USB umożliwiający łatwą instalację, IP66, IK10, NEMA 4X, PoE</v>
      </c>
      <c r="K236" s="43" t="s">
        <v>21</v>
      </c>
      <c r="L236" s="44">
        <v>707.0</v>
      </c>
      <c r="M236" s="8"/>
      <c r="N236" s="45" t="s">
        <v>22</v>
      </c>
      <c r="O236" s="97"/>
      <c r="P236" s="36"/>
      <c r="Q236" s="35"/>
      <c r="R236" s="68"/>
      <c r="S236" s="68"/>
      <c r="T236" s="68"/>
      <c r="U236" s="35"/>
      <c r="V236" s="35"/>
      <c r="W236" s="35"/>
      <c r="X236" s="35"/>
      <c r="Y236" s="35"/>
      <c r="Z236" s="35"/>
      <c r="AA236" s="35"/>
      <c r="AB236" s="35"/>
      <c r="AC236" s="60"/>
      <c r="AD236" s="85"/>
      <c r="AE236" s="85"/>
      <c r="AF236" s="85"/>
      <c r="AG236" s="85"/>
      <c r="AH236" s="85"/>
      <c r="AI236" s="85"/>
      <c r="AJ236" s="85"/>
      <c r="AK236" s="85"/>
      <c r="AL236" s="85"/>
      <c r="AM236" s="85"/>
      <c r="AN236" s="85"/>
      <c r="AO236" s="85"/>
      <c r="AP236" s="85"/>
    </row>
    <row r="237" ht="99.75" customHeight="1">
      <c r="A237" s="29"/>
      <c r="B237" s="38" t="s">
        <v>118</v>
      </c>
      <c r="C237" s="39" t="s">
        <v>761</v>
      </c>
      <c r="D237" s="40" t="s">
        <v>759</v>
      </c>
      <c r="E237" s="40" t="s">
        <v>168</v>
      </c>
      <c r="F237" s="40" t="s">
        <v>623</v>
      </c>
      <c r="G237" s="39" t="s">
        <v>184</v>
      </c>
      <c r="H237" s="41" t="s">
        <v>19</v>
      </c>
      <c r="I237" s="48" t="s">
        <v>762</v>
      </c>
      <c r="J237" s="42" t="str">
        <f>IFERROR(__xludf.DUMMYFUNCTION("GOOGLETRANSLATE(I237,""en"",""pl"")"),"Seria X z kamerą kopułkową Wisenet 5 IR, zewnętrzną, zabezpieczoną przed wandalizmem, 2 MP @60 kl./s, obiektyw stałoogniskowy 3,6 mm (94,8°), potrójny kodek H.265/H.264/MJPEG z WiseStream II, strumieniowanie wielokrotne, WDR 150 dB, True Day &amp; Night (ICR)"&amp;", widoczność podczerwieni 15 m, zaawansowana analiza wideo i klasyfikacja dźwięku, widok korytarza, wykrywanie ruchu, wykrywanie mgły, HLC, przekazywanie, cyfrowa stabilizacja obrazu, dwukierunkowy dźwięk i gniazdo SD/SDHC/SDXC, port USB ułatwiający insta"&amp;"lację, IP66, IK10, NEMA 4X, PoE, złącze M12 (M12 do RJ45 nie jest dołączone)")</f>
        <v>Seria X z kamerą kopułkową Wisenet 5 IR, zewnętrzną, zabezpieczoną przed wandalizmem, 2 MP @60 kl./s, obiektyw stałoogniskowy 3,6 mm (94,8°), potrójny kodek H.265/H.264/MJPEG z WiseStream II, strumieniowanie wielokrotne, WDR 150 dB, True Day &amp; Night (ICR), widoczność podczerwieni 15 m, zaawansowana analiza wideo i klasyfikacja dźwięku, widok korytarza, wykrywanie ruchu, wykrywanie mgły, HLC, przekazywanie, cyfrowa stabilizacja obrazu, dwukierunkowy dźwięk i gniazdo SD/SDHC/SDXC, port USB ułatwiający instalację, IP66, IK10, NEMA 4X, PoE, złącze M12 (M12 do RJ45 nie jest dołączone)</v>
      </c>
      <c r="K237" s="43" t="s">
        <v>21</v>
      </c>
      <c r="L237" s="44">
        <v>707.0</v>
      </c>
      <c r="M237" s="8"/>
      <c r="N237" s="45" t="s">
        <v>22</v>
      </c>
      <c r="O237" s="97"/>
      <c r="P237" s="36"/>
      <c r="Q237" s="35"/>
      <c r="R237" s="68"/>
      <c r="S237" s="68"/>
      <c r="T237" s="68"/>
      <c r="U237" s="35"/>
      <c r="V237" s="35"/>
      <c r="W237" s="35"/>
      <c r="X237" s="35"/>
      <c r="Y237" s="35"/>
      <c r="Z237" s="35"/>
      <c r="AA237" s="35"/>
      <c r="AB237" s="35"/>
      <c r="AC237" s="60"/>
      <c r="AD237" s="85"/>
      <c r="AE237" s="85"/>
      <c r="AF237" s="85"/>
      <c r="AG237" s="85"/>
      <c r="AH237" s="85"/>
      <c r="AI237" s="85"/>
      <c r="AJ237" s="85"/>
      <c r="AK237" s="85"/>
      <c r="AL237" s="85"/>
      <c r="AM237" s="85"/>
      <c r="AN237" s="85"/>
      <c r="AO237" s="85"/>
      <c r="AP237" s="85"/>
    </row>
    <row r="238" ht="99.75" customHeight="1">
      <c r="A238" s="29"/>
      <c r="B238" s="38" t="s">
        <v>118</v>
      </c>
      <c r="C238" s="39" t="s">
        <v>763</v>
      </c>
      <c r="D238" s="40" t="s">
        <v>691</v>
      </c>
      <c r="E238" s="40" t="s">
        <v>168</v>
      </c>
      <c r="F238" s="40" t="s">
        <v>623</v>
      </c>
      <c r="G238" s="39" t="s">
        <v>184</v>
      </c>
      <c r="H238" s="41" t="s">
        <v>19</v>
      </c>
      <c r="I238" s="48" t="s">
        <v>764</v>
      </c>
      <c r="J238" s="42" t="str">
        <f>IFERROR(__xludf.DUMMYFUNCTION("GOOGLETRANSLATE(I238,""en"",""pl"")"),"Seria X zasilana przez zewnętrzną kamerę kopułkową Wisenet 5 z podczerwienią, zabezpieczoną przed wandalizmem, 2 MP @60 kl./s, obiektyw stałoogniskowy 4 mm (88,6°), potrójny kodek H.265/H.264/MJPEG z WiseStream II, strumieniowanie wielokrotne, WDR 150 dB,"&amp;" True Day &amp; Night (ICR), diody LED IR o dużej mocy z widoczną długością podczerwieni 30 m, zaawansowana analiza wideo i klasyfikacja dźwięku oraz analiza biznesowa, widok z korytarza, wykrywanie ruchu, wykrywanie mgły, HLC, przekazywanie, cyfrowa stabiliz"&amp;"acja obrazu, dwukierunkowy dźwięk i dwa gniazda microSD/SDHC/SDXC, port USB ułatwiający instalację, IP67/IP66, IK10, PoE/12 V DC")</f>
        <v>Seria X zasilana przez zewnętrzną kamerę kopułkową Wisenet 5 z podczerwienią, zabezpieczoną przed wandalizmem, 2 MP @60 kl./s, obiektyw stałoogniskowy 4 mm (88,6°), potrójny kodek H.265/H.264/MJPEG z WiseStream II, strumieniowanie wielokrotne, WDR 150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microSD/SDHC/SDXC, port USB ułatwiający instalację, IP67/IP66, IK10, PoE/12 V DC</v>
      </c>
      <c r="K238" s="43" t="s">
        <v>21</v>
      </c>
      <c r="L238" s="44">
        <v>536.0</v>
      </c>
      <c r="M238" s="8"/>
      <c r="N238" s="45" t="s">
        <v>22</v>
      </c>
      <c r="O238" s="97"/>
      <c r="P238" s="36"/>
      <c r="Q238" s="35"/>
      <c r="R238" s="68"/>
      <c r="S238" s="68"/>
      <c r="T238" s="68"/>
      <c r="U238" s="35"/>
      <c r="V238" s="35"/>
      <c r="W238" s="35"/>
      <c r="X238" s="35"/>
      <c r="Y238" s="35"/>
      <c r="Z238" s="35"/>
      <c r="AA238" s="35"/>
      <c r="AB238" s="35"/>
      <c r="AC238" s="60"/>
      <c r="AD238" s="85"/>
      <c r="AE238" s="85"/>
      <c r="AF238" s="85"/>
      <c r="AG238" s="85"/>
      <c r="AH238" s="85"/>
      <c r="AI238" s="85"/>
      <c r="AJ238" s="85"/>
      <c r="AK238" s="85"/>
      <c r="AL238" s="85"/>
      <c r="AM238" s="85"/>
      <c r="AN238" s="85"/>
      <c r="AO238" s="85"/>
      <c r="AP238" s="85"/>
    </row>
    <row r="239" ht="99.75" customHeight="1">
      <c r="A239" s="29"/>
      <c r="B239" s="38" t="s">
        <v>118</v>
      </c>
      <c r="C239" s="39" t="s">
        <v>765</v>
      </c>
      <c r="D239" s="40" t="s">
        <v>759</v>
      </c>
      <c r="E239" s="40" t="s">
        <v>168</v>
      </c>
      <c r="F239" s="40" t="s">
        <v>623</v>
      </c>
      <c r="G239" s="39" t="s">
        <v>184</v>
      </c>
      <c r="H239" s="41" t="s">
        <v>19</v>
      </c>
      <c r="I239" s="48" t="s">
        <v>766</v>
      </c>
      <c r="J239" s="42" t="str">
        <f>IFERROR(__xludf.DUMMYFUNCTION("GOOGLETRANSLATE(I239,""en"",""pl"")"),"Seria X z sieciową, zewnętrzną kamerą kopułkową Wisenet 5, chroniącą przed wandalizmem, 2 MP @60 kl./s, obiektyw stałoogniskowy 2,8 mm (107,4°), potrójny kodek H.265/H.264/MJPEG z WiseStream II, strumieniowanie wielokrotne, WDR 150 dB, elektryczny tryb dz"&amp;"ień/noc, zaawansowana analiza wideo i klasyfikacja dźwięku, widok z korytarza, detekcja ruchu, detekcja mgły, HLC, tryb przełączania, cyfrowa stabilizacja obrazu, dwukierunkowy dźwięk i gniazdo SD/SDHC/SDXC, IP67, IP6K9K, IK10, NEMA 4X, PoE.
Kamera został"&amp;"a zaprojektowana do montażu na zewnątrz pojazdu, złącze M12 (M12 do RJ45 nie jest dołączone)")</f>
        <v>Seria X z sieciową, zewnętrzną kamerą kopułkową Wisenet 5, chroniącą przed wandalizmem, 2 MP @60 kl./s, obiektyw stałoogniskowy 2,8 mm (107,4°), potrójny kodek H.265/H.264/MJPEG z WiseStream II, strumieniowanie wielokrotne, WDR 150 dB, elektryczny tryb dzień/noc, zaawansowana analiza wideo i klasyfikacja dźwięku, widok z korytarza, detekcja ruchu, detekcja mgły, HLC, tryb przełączania, cyfrowa stabilizacja obrazu, dwukierunkowy dźwięk i gniazdo SD/SDHC/SDXC, IP67, IP6K9K, IK10, NEMA 4X, PoE.
Kamera została zaprojektowana do montażu na zewnątrz pojazdu, złącze M12 (M12 do RJ45 nie jest dołączone)</v>
      </c>
      <c r="K239" s="43" t="s">
        <v>21</v>
      </c>
      <c r="L239" s="44">
        <v>648.0</v>
      </c>
      <c r="M239" s="8"/>
      <c r="N239" s="45" t="s">
        <v>22</v>
      </c>
      <c r="O239" s="97"/>
      <c r="P239" s="36"/>
      <c r="Q239" s="35"/>
      <c r="R239" s="68"/>
      <c r="S239" s="68"/>
      <c r="T239" s="68"/>
      <c r="U239" s="35"/>
      <c r="V239" s="35"/>
      <c r="W239" s="35"/>
      <c r="X239" s="35"/>
      <c r="Y239" s="35"/>
      <c r="Z239" s="35"/>
      <c r="AA239" s="35"/>
      <c r="AB239" s="35"/>
      <c r="AC239" s="60"/>
      <c r="AD239" s="61"/>
      <c r="AE239" s="61"/>
      <c r="AF239" s="61"/>
      <c r="AG239" s="61"/>
      <c r="AH239" s="61"/>
      <c r="AI239" s="85"/>
      <c r="AJ239" s="85"/>
      <c r="AK239" s="85"/>
      <c r="AL239" s="85"/>
      <c r="AM239" s="85"/>
      <c r="AN239" s="85"/>
      <c r="AO239" s="85"/>
      <c r="AP239" s="85"/>
    </row>
    <row r="240" ht="99.75" customHeight="1">
      <c r="A240" s="29"/>
      <c r="B240" s="38" t="s">
        <v>118</v>
      </c>
      <c r="C240" s="39" t="s">
        <v>767</v>
      </c>
      <c r="D240" s="40" t="s">
        <v>759</v>
      </c>
      <c r="E240" s="40" t="s">
        <v>168</v>
      </c>
      <c r="F240" s="40" t="s">
        <v>623</v>
      </c>
      <c r="G240" s="39" t="s">
        <v>184</v>
      </c>
      <c r="H240" s="41" t="s">
        <v>19</v>
      </c>
      <c r="I240" s="48" t="s">
        <v>768</v>
      </c>
      <c r="J240" s="42" t="str">
        <f>IFERROR(__xludf.DUMMYFUNCTION("GOOGLETRANSLATE(I240,""en"",""pl"")"),"Seria X z zewnętrzną kopułkową kamerą sieciową Wisenet 5, chroniącą przed wandalizmem, 2 MP @60 kl./s, obiektyw stałoogniskowy 2,4 mm (135,4°), potrójny kodek H.265/H.264/MJPEG z WiseStream II, strumieniowanie wielokrotne, WDR 150 dB, tryb dzień/noc elekt"&amp;"ryczny, zaawansowana analiza wideo i klasyfikacja dźwięku, widok na korytarz, wykrywanie ruchu, wykrywanie mgły, HLC, przekazywanie, cyfrowa stabilizacja obrazu, dwukierunkowy dźwięk i gniazdo SD/SDHC/SDXC, IP66, IK10, NEMA 4X, PoE, złącze M12 (M12 do RJ4"&amp;"5 nie jest dołączone)")</f>
        <v>Seria X z zewnętrzną kopułkową kamerą sieciową Wisenet 5, chroniącą przed wandalizmem, 2 MP @60 kl./s, obiektyw stałoogniskowy 2,4 mm (135,4°), potrójny kodek H.265/H.264/MJPEG z WiseStream II, strumieniowanie wielokrotne, WDR 150 dB, tryb dzień/noc elektryczny, zaawansowana analiza wideo i klasyfikacja dźwięku, widok na korytarz, wykrywanie ruchu, wykrywanie mgły, HLC, przekazywanie, cyfrowa stabilizacja obrazu, dwukierunkowy dźwięk i gniazdo SD/SDHC/SDXC, IP66, IK10, NEMA 4X, PoE, złącze M12 (M12 do RJ45 nie jest dołączone)</v>
      </c>
      <c r="K240" s="43" t="s">
        <v>21</v>
      </c>
      <c r="L240" s="44">
        <v>648.0</v>
      </c>
      <c r="M240" s="8"/>
      <c r="N240" s="45" t="s">
        <v>22</v>
      </c>
      <c r="O240" s="97"/>
      <c r="P240" s="36"/>
      <c r="Q240" s="35"/>
      <c r="R240" s="68"/>
      <c r="S240" s="68"/>
      <c r="T240" s="68"/>
      <c r="U240" s="35"/>
      <c r="V240" s="35"/>
      <c r="W240" s="35"/>
      <c r="X240" s="35"/>
      <c r="Y240" s="35"/>
      <c r="Z240" s="35"/>
      <c r="AA240" s="35"/>
      <c r="AB240" s="35"/>
      <c r="AC240" s="60"/>
      <c r="AD240" s="61"/>
      <c r="AE240" s="61"/>
      <c r="AF240" s="61"/>
      <c r="AG240" s="61"/>
      <c r="AH240" s="61"/>
      <c r="AI240" s="85"/>
      <c r="AJ240" s="85"/>
      <c r="AK240" s="85"/>
      <c r="AL240" s="85"/>
      <c r="AM240" s="85"/>
      <c r="AN240" s="85"/>
      <c r="AO240" s="85"/>
      <c r="AP240" s="85"/>
    </row>
    <row r="241" ht="99.75" customHeight="1">
      <c r="A241" s="29"/>
      <c r="B241" s="38" t="s">
        <v>118</v>
      </c>
      <c r="C241" s="39" t="s">
        <v>769</v>
      </c>
      <c r="D241" s="40" t="s">
        <v>759</v>
      </c>
      <c r="E241" s="40" t="s">
        <v>168</v>
      </c>
      <c r="F241" s="40" t="s">
        <v>623</v>
      </c>
      <c r="G241" s="39" t="s">
        <v>184</v>
      </c>
      <c r="H241" s="41" t="s">
        <v>19</v>
      </c>
      <c r="I241" s="48" t="s">
        <v>770</v>
      </c>
      <c r="J241" s="42" t="str">
        <f>IFERROR(__xludf.DUMMYFUNCTION("GOOGLETRANSLATE(I241,""en"",""pl"")"),"Seria X z zewnętrzną kopułkową kamerą sieciową Wisenet 5, chroniącą przed wandalizmem, 2 MP @60 kl./s, obiektyw stałoogniskowy 2,4 mm (135,4°), potrójny kodek H.265/H.264/MJPEG z WiseStream II, strumieniowanie wielokrotne, WDR 150 dB, elektryczny tryb dzi"&amp;"eń/noc, zaawansowana analiza wideo i klasyfikacja dźwięku, widok na korytarz, wykrywanie ruchu, wykrywanie mgły, HLC, przekazywanie, cyfrowa stabilizacja obrazu, dwukierunkowy dźwięk i gniazdo SD/SDHC/SDXC, IP66, IK10, Nema 4X, PoE")</f>
        <v>Seria X z zewnętrzną kopułkową kamerą sieciową Wisenet 5, chroniącą przed wandalizmem, 2 MP @60 kl./s, obiektyw stałoogniskowy 2,4 mm (135,4°), potrójny kodek H.265/H.264/MJPEG z WiseStream II, strumieniowanie wielokrotne, WDR 150 dB, elektryczny tryb dzień/noc, zaawansowana analiza wideo i klasyfikacja dźwięku, widok na korytarz, wykrywanie ruchu, wykrywanie mgły, HLC, przekazywanie, cyfrowa stabilizacja obrazu, dwukierunkowy dźwięk i gniazdo SD/SDHC/SDXC, IP66, IK10, Nema 4X, PoE</v>
      </c>
      <c r="K241" s="43" t="s">
        <v>21</v>
      </c>
      <c r="L241" s="44">
        <v>648.0</v>
      </c>
      <c r="M241" s="8"/>
      <c r="N241" s="45" t="s">
        <v>22</v>
      </c>
      <c r="O241" s="97"/>
      <c r="P241" s="35"/>
      <c r="Q241" s="35"/>
      <c r="R241" s="68"/>
      <c r="S241" s="68"/>
      <c r="T241" s="68"/>
      <c r="U241" s="35"/>
      <c r="V241" s="35"/>
      <c r="W241" s="35"/>
      <c r="X241" s="35"/>
      <c r="Y241" s="35"/>
      <c r="Z241" s="35"/>
      <c r="AA241" s="35"/>
      <c r="AB241" s="35"/>
      <c r="AC241" s="101"/>
      <c r="AD241" s="98"/>
      <c r="AE241" s="98"/>
      <c r="AF241" s="98"/>
      <c r="AG241" s="98"/>
      <c r="AH241" s="98"/>
      <c r="AI241" s="98"/>
      <c r="AJ241" s="98"/>
      <c r="AK241" s="98"/>
      <c r="AL241" s="98"/>
      <c r="AM241" s="98"/>
      <c r="AN241" s="98"/>
      <c r="AO241" s="98"/>
      <c r="AP241" s="98"/>
    </row>
    <row r="242" ht="99.75" customHeight="1">
      <c r="A242" s="29"/>
      <c r="B242" s="38" t="s">
        <v>118</v>
      </c>
      <c r="C242" s="39" t="s">
        <v>771</v>
      </c>
      <c r="D242" s="40" t="s">
        <v>772</v>
      </c>
      <c r="E242" s="40" t="s">
        <v>168</v>
      </c>
      <c r="F242" s="40" t="s">
        <v>623</v>
      </c>
      <c r="G242" s="39" t="s">
        <v>184</v>
      </c>
      <c r="H242" s="41" t="s">
        <v>19</v>
      </c>
      <c r="I242" s="48" t="s">
        <v>773</v>
      </c>
      <c r="J242" s="42" t="str">
        <f>IFERROR(__xludf.DUMMYFUNCTION("GOOGLETRANSLATE(I242,""en"",""pl"")"),"Seria X zasilana przez zewnętrzną kompaktową kamerę kopułkową Wisenet 5, 2 MP @60 kl./s, obiektyw stały 2,8 mm (112°), potrójny kodek H.265/H.264/MJPEG z WiseStream II, strumieniowanie wielokrotne, WDR 150 dB, elektroniczny tryb dzień/noc, zaawansowana an"&amp;"aliza wideo i analiza biznesowa, widok z korytarza, wykrywanie ruchu, wykrywanie mgły, HLC, przekazywanie, cyfrowa stabilizacja obrazu, gniazdo SD/SDHC/SDXC, port USB ułatwiający instalację, IP66, IK10, Nema 4X, PoE")</f>
        <v>Seria X zasilana przez zewnętrzną kompaktową kamerę kopułkową Wisenet 5, 2 MP @60 kl./s, obiektyw stały 2,8 mm (112°), potrójny kodek H.265/H.264/MJPEG z WiseStream II, strumieniowanie wielokrotne, WDR 150 dB, elektroniczny tryb dzień/noc, zaawansowana analiza wideo i analiza biznesowa, widok z korytarza, wykrywanie ruchu, wykrywanie mgły, HLC, przekazywanie, cyfrowa stabilizacja obrazu, gniazdo SD/SDHC/SDXC, port USB ułatwiający instalację, IP66, IK10, Nema 4X, PoE</v>
      </c>
      <c r="K242" s="43" t="s">
        <v>21</v>
      </c>
      <c r="L242" s="44">
        <v>398.0</v>
      </c>
      <c r="M242" s="8"/>
      <c r="N242" s="45" t="s">
        <v>22</v>
      </c>
      <c r="O242" s="97"/>
      <c r="P242" s="35"/>
      <c r="Q242" s="35"/>
      <c r="R242" s="68"/>
      <c r="S242" s="68"/>
      <c r="T242" s="68"/>
      <c r="U242" s="35"/>
      <c r="V242" s="35"/>
      <c r="W242" s="35"/>
      <c r="X242" s="35"/>
      <c r="Y242" s="35"/>
      <c r="Z242" s="35"/>
      <c r="AA242" s="35"/>
      <c r="AB242" s="35"/>
      <c r="AC242" s="101"/>
      <c r="AD242" s="75"/>
      <c r="AE242" s="75"/>
      <c r="AF242" s="75"/>
      <c r="AG242" s="75"/>
      <c r="AH242" s="75"/>
      <c r="AI242" s="98"/>
      <c r="AJ242" s="98"/>
      <c r="AK242" s="98"/>
      <c r="AL242" s="98"/>
      <c r="AM242" s="98"/>
      <c r="AN242" s="98"/>
      <c r="AO242" s="98"/>
      <c r="AP242" s="98"/>
    </row>
    <row r="243" ht="99.75" customHeight="1">
      <c r="A243" s="29"/>
      <c r="B243" s="38" t="s">
        <v>118</v>
      </c>
      <c r="C243" s="39" t="s">
        <v>774</v>
      </c>
      <c r="D243" s="40" t="s">
        <v>700</v>
      </c>
      <c r="E243" s="40" t="s">
        <v>168</v>
      </c>
      <c r="F243" s="40" t="s">
        <v>623</v>
      </c>
      <c r="G243" s="39" t="s">
        <v>184</v>
      </c>
      <c r="H243" s="41" t="s">
        <v>19</v>
      </c>
      <c r="I243" s="48" t="s">
        <v>775</v>
      </c>
      <c r="J243" s="42" t="str">
        <f>IFERROR(__xludf.DUMMYFUNCTION("GOOGLETRANSLATE(I243,""en"",""pl"")"),"Seria X z zewnętrzną kamerą kopułkową sieciową Wisenet 5, chroniącą przed wandalizmem, 2 MP @60 kl./s, obiektyw stałoogniskowy 2,4 mm (139°), potrójny kodek H.265/H.264/MJPEG z WiseStream II, strumieniowanie wielokrotne, WDR 150 dB, True Day &amp; Night (ICR)"&amp;", zaawansowana analiza wideo i klasyfikacja dźwięku oraz analiza biznesowa, widok z korytarza, wykrywanie ruchu, wykrywanie mgły, HLC, przekazywanie, cyfrowa stabilizacja obrazu, dwukierunkowy dźwięk i dwa gniazda microSD/SDHC/SDXC, IP67/IP66, IK10, Nema "&amp;"4X, PoE/12 V DC")</f>
        <v>Seria X z zewnętrzną kamerą kopułkową sieciową Wisenet 5, chroniącą przed wandalizmem, 2 MP @60 kl./s, obiektyw stałoogniskowy 2,4 mm (139°), potrójny kodek H.265/H.264/MJPEG z WiseStream II, strumieniowanie wielokrotne, WDR 150 dB, True Day &amp; Night (ICR), zaawansowana analiza wideo i klasyfikacja dźwięku oraz analiza biznesowa, widok z korytarza, wykrywanie ruchu, wykrywanie mgły, HLC, przekazywanie, cyfrowa stabilizacja obrazu, dwukierunkowy dźwięk i dwa gniazda microSD/SDHC/SDXC, IP67/IP66, IK10, Nema 4X, PoE/12 V DC</v>
      </c>
      <c r="K243" s="43" t="s">
        <v>21</v>
      </c>
      <c r="L243" s="44">
        <v>536.0</v>
      </c>
      <c r="M243" s="8"/>
      <c r="N243" s="45" t="s">
        <v>22</v>
      </c>
      <c r="O243" s="97"/>
      <c r="P243" s="35"/>
      <c r="Q243" s="35"/>
      <c r="R243" s="68"/>
      <c r="S243" s="68"/>
      <c r="T243" s="68"/>
      <c r="U243" s="35"/>
      <c r="V243" s="35"/>
      <c r="W243" s="35"/>
      <c r="X243" s="35"/>
      <c r="Y243" s="35"/>
      <c r="Z243" s="35"/>
      <c r="AA243" s="35"/>
      <c r="AB243" s="35"/>
      <c r="AC243" s="101"/>
      <c r="AD243" s="98"/>
      <c r="AE243" s="98"/>
      <c r="AF243" s="98"/>
      <c r="AG243" s="98"/>
      <c r="AH243" s="98"/>
      <c r="AI243" s="98"/>
      <c r="AJ243" s="98"/>
      <c r="AK243" s="98"/>
      <c r="AL243" s="98"/>
      <c r="AM243" s="98"/>
      <c r="AN243" s="98"/>
      <c r="AO243" s="98"/>
      <c r="AP243" s="98"/>
    </row>
    <row r="244" ht="96.0" customHeight="1">
      <c r="A244" s="29"/>
      <c r="B244" s="38" t="s">
        <v>118</v>
      </c>
      <c r="C244" s="99" t="s">
        <v>776</v>
      </c>
      <c r="D244" s="40" t="s">
        <v>777</v>
      </c>
      <c r="E244" s="40" t="s">
        <v>168</v>
      </c>
      <c r="F244" s="40" t="s">
        <v>623</v>
      </c>
      <c r="G244" s="39" t="s">
        <v>213</v>
      </c>
      <c r="H244" s="41" t="s">
        <v>19</v>
      </c>
      <c r="I244" s="42" t="s">
        <v>778</v>
      </c>
      <c r="J244" s="42" t="str">
        <f>IFERROR(__xludf.DUMMYFUNCTION("GOOGLETRANSLATE(I244,""en"",""pl"")"),"Seria X zasilana przez zewnętrzną kamerę PTZ z siecią Wisenet 7 IR ze wbudowaną wycieraczką, 2 MP @60fps, obiektyw z 40-krotnym zoomem optycznym (4,25 ~ 170 mm) (65,66º ~ 1,88º), zakres obrotu 360° bez ograniczeń, prędkość obrotu 500°/sek., pochylenie: -2"&amp;"0° ~ 90°, potrójny kodek H.265/H.264/MJPEG z WiseStream II, strumieniowanie wielokrotne, ekstremalny WDR (150 dB), True Day &amp; Night (ICR), widoczna długość podczerwieni 200 m, inteligentna analiza wideo, wykrywanie ruchu, wykrywanie mgły, manipulacja, aut"&amp;"omatyczne śledzenie obiektów (osoby/pojazdu), śledzenie blokady celu, cyfrowa stabilizacja obrazu z wbudowanym czujnikiem żyroskopowym, 2 gniazda Micro SD/SDHC/SDXC do 1 TB, IP66, IK10, NEMA4X, HPoE
* Wyjścia alarmowe, detekcja dźwięku, klasyfikacja dźwię"&amp;"ku (z modułem NW I/O Box, który można kupić osobno)")</f>
        <v>Seria X zasilana przez zewnętrzną kamerę PTZ z siecią Wisenet 7 IR ze wbudowaną wycieraczką, 2 MP @60fps, obiektyw z 40-krotnym zoomem optycznym (4,25 ~ 170 mm) (65,66º ~ 1,88º), zakres obrotu 360° bez ograniczeń, prędkość obrotu 500°/sek., pochylenie: -20° ~ 90°, potrójny kodek H.265/H.264/MJPEG z WiseStream II, strumieniowanie wielokrotne, ekstremalny WDR (150 dB), True Day &amp; Night (ICR), widoczna długość podczerwieni 200 m, inteligentna analiza wideo, wykrywanie ruchu, wykrywanie mgły, manipulacja, automatyczne śledzenie obiektów (osoby/pojazdu), śledzenie blokady celu, cyfrowa stabilizacja obrazu z wbudowanym czujnikiem żyroskopowym, 2 gniazda Micro SD/SDHC/SDXC do 1 TB, IP66, IK10, NEMA4X, HPoE
* Wyjścia alarmowe, detekcja dźwięku, klasyfikacja dźwięku (z modułem NW I/O Box, który można kupić osobno)</v>
      </c>
      <c r="K244" s="43" t="s">
        <v>21</v>
      </c>
      <c r="L244" s="44">
        <v>4010.0</v>
      </c>
      <c r="M244" s="8"/>
      <c r="N244" s="45" t="s">
        <v>22</v>
      </c>
      <c r="O244" s="97"/>
      <c r="P244" s="36"/>
      <c r="Q244" s="35"/>
      <c r="R244" s="68"/>
      <c r="S244" s="68"/>
      <c r="T244" s="68"/>
      <c r="U244" s="35"/>
      <c r="V244" s="35"/>
      <c r="W244" s="35"/>
      <c r="X244" s="35"/>
      <c r="Y244" s="35"/>
      <c r="Z244" s="35"/>
      <c r="AA244" s="35"/>
      <c r="AB244" s="35"/>
      <c r="AC244" s="60"/>
      <c r="AD244" s="85"/>
      <c r="AE244" s="85"/>
      <c r="AF244" s="85"/>
      <c r="AG244" s="85"/>
      <c r="AH244" s="85"/>
      <c r="AI244" s="85"/>
      <c r="AJ244" s="85"/>
      <c r="AK244" s="85"/>
      <c r="AL244" s="85"/>
      <c r="AM244" s="85"/>
      <c r="AN244" s="85"/>
      <c r="AO244" s="85"/>
      <c r="AP244" s="85"/>
    </row>
    <row r="245" ht="46.5" customHeight="1">
      <c r="A245" s="29"/>
      <c r="B245" s="38" t="s">
        <v>118</v>
      </c>
      <c r="C245" s="99" t="s">
        <v>779</v>
      </c>
      <c r="D245" s="40" t="s">
        <v>777</v>
      </c>
      <c r="E245" s="40" t="s">
        <v>168</v>
      </c>
      <c r="F245" s="40" t="s">
        <v>623</v>
      </c>
      <c r="G245" s="39" t="s">
        <v>213</v>
      </c>
      <c r="H245" s="41" t="s">
        <v>19</v>
      </c>
      <c r="I245" s="42" t="s">
        <v>780</v>
      </c>
      <c r="J245" s="42" t="str">
        <f>IFERROR(__xludf.DUMMYFUNCTION("GOOGLETRANSLATE(I245,""en"",""pl"")"),"Seria X zasilana przez zewnętrzną kamerę PTZ z siecią Wisenet 7 IR, 2 MP @60fps, obiektyw z 40-krotnym zoomem optycznym (4,25 ~ 170 mm) (65,66º ~ 1,88º), zakres obrotu 360° bez ograniczeń, prędkość obrotu 700°/sek., pochylenie: -20° ~ 90°, potrójny kodek "&amp;"H.265/H.264/MJPEG z WiseStream II, strumieniowanie wielokrotne, ekstremalny WDR (150 dB), True Day &amp; Night (ICR), widoczna długość podczerwieni 200 m, inteligentna analiza wideo, wykrywanie ruchu, wykrywanie mgły, manipulacja, automatyczne śledzenie obiek"&amp;"tów (osoby/pojazdu), śledzenie blokady celu, cyfrowa stabilizacja obrazu z wbudowanym czujnikiem żyroskopowym, 2 gniazda Micro SD/SDHC/SDXC do 1 TB, IP66, IK10, NEMA4X, NEMA-TS2, HPoE
* Wyjścia alarmowe, detekcja dźwięku, klasyfikacja dźwięku (z modułem N"&amp;"W I/O Box, który można kupić osobno)")</f>
        <v>Seria X zasilana przez zewnętrzną kamerę PTZ z siecią Wisenet 7 IR, 2 MP @60fps, obiektyw z 40-krotnym zoomem optycznym (4,25 ~ 170 mm) (65,66º ~ 1,88º), zakres obrotu 360° bez ograniczeń, prędkość obrotu 700°/sek., pochylenie: -20° ~ 90°, potrójny kodek H.265/H.264/MJPEG z WiseStream II, strumieniowanie wielokrotne, ekstremalny WDR (150 dB), True Day &amp; Night (ICR), widoczna długość podczerwieni 200 m, inteligentna analiza wideo, wykrywanie ruchu, wykrywanie mgły, manipulacja, automatyczne śledzenie obiektów (osoby/pojazdu), śledzenie blokady celu, cyfrowa stabilizacja obrazu z wbudowanym czujnikiem żyroskopowym, 2 gniazda Micro SD/SDHC/SDXC do 1 TB, IP66, IK10, NEMA4X, NEMA-TS2, HPoE
* Wyjścia alarmowe, detekcja dźwięku, klasyfikacja dźwięku (z modułem NW I/O Box, który można kupić osobno)</v>
      </c>
      <c r="K245" s="43" t="s">
        <v>21</v>
      </c>
      <c r="L245" s="44">
        <v>3560.0</v>
      </c>
      <c r="M245" s="8"/>
      <c r="N245" s="45" t="s">
        <v>22</v>
      </c>
      <c r="O245" s="97"/>
      <c r="P245" s="36"/>
      <c r="Q245" s="35"/>
      <c r="R245" s="68"/>
      <c r="S245" s="68"/>
      <c r="T245" s="68"/>
      <c r="U245" s="35"/>
      <c r="V245" s="35"/>
      <c r="W245" s="35"/>
      <c r="X245" s="35"/>
      <c r="Y245" s="35"/>
      <c r="Z245" s="35"/>
      <c r="AA245" s="35"/>
      <c r="AB245" s="35"/>
      <c r="AC245" s="60"/>
      <c r="AD245" s="85"/>
      <c r="AE245" s="85"/>
      <c r="AF245" s="85"/>
      <c r="AG245" s="85"/>
      <c r="AH245" s="85"/>
      <c r="AI245" s="85"/>
      <c r="AJ245" s="85"/>
      <c r="AK245" s="85"/>
      <c r="AL245" s="85"/>
      <c r="AM245" s="85"/>
      <c r="AN245" s="85"/>
      <c r="AO245" s="85"/>
      <c r="AP245" s="85"/>
    </row>
    <row r="246" ht="109.5" customHeight="1">
      <c r="A246" s="29"/>
      <c r="B246" s="38" t="s">
        <v>118</v>
      </c>
      <c r="C246" s="99" t="s">
        <v>781</v>
      </c>
      <c r="D246" s="40" t="s">
        <v>782</v>
      </c>
      <c r="E246" s="40" t="s">
        <v>168</v>
      </c>
      <c r="F246" s="40" t="s">
        <v>623</v>
      </c>
      <c r="G246" s="39" t="s">
        <v>213</v>
      </c>
      <c r="H246" s="41" t="s">
        <v>19</v>
      </c>
      <c r="I246" s="42" t="s">
        <v>783</v>
      </c>
      <c r="J246" s="42" t="str">
        <f>IFERROR(__xludf.DUMMYFUNCTION("GOOGLETRANSLATE(I246,""en"",""pl"")"),"Seria X z sieciową kamerą zewnętrzną PTZ Wisenet 7, 2 MP @60 kl./s, obiektyw z 40-krotnym zoomem optycznym (4,25 ~ 170 mm) (65,66º ~ 1,88º), nieograniczony zakres obrotu 360°, prędkość obrotu 700°/s, pochylenie: -20° ~ 90°, potrójny kodek H.265/H.264/MJPE"&amp;"G z WiseStream II, strumieniowanie wielokrotne, ekstremalny WDR (150 dB), True Day &amp; Night (ICR), inteligentna analiza wideo, detekcja ruchu, detekcja mgły, wykrywanie manipulacji, automatyczne śledzenie obiektów (osoby/pojazdu), śledzenie celu, cyfrowa s"&amp;"tabilizacja obrazu z wbudowanym żyroskopem, 2 gniazda Micro SD/SDHC/SDXC do 1 TB, IP66, IK10, NEMA4X, NEMA-TS2, HPoE
* Wyjścia alarmowe, dźwięk wykrywanie, klasyfikacja dźwięku (z modułem NW I/O Box, który można kupić osobno)")</f>
        <v>Seria X z sieciową kamerą zewnętrzną PTZ Wisenet 7, 2 MP @60 kl./s, obiektyw z 40-krotnym zoomem optycznym (4,25 ~ 170 mm) (65,66º ~ 1,88º), nieograniczony zakres obrotu 360°, prędkość obrotu 700°/s, pochylenie: -20° ~ 90°, potrójny kodek H.265/H.264/MJPEG z WiseStream II, strumieniowanie wielokrotne, ekstremalny WDR (150 dB), True Day &amp; Night (ICR), inteligentna analiza wideo, detekcja ruchu, detekcja mgły, wykrywanie manipulacji, automatyczne śledzenie obiektów (osoby/pojazdu), śledzenie celu, cyfrowa stabilizacja obrazu z wbudowanym żyroskopem, 2 gniazda Micro SD/SDHC/SDXC do 1 TB, IP66, IK10, NEMA4X, NEMA-TS2, HPoE
* Wyjścia alarmowe, dźwięk wykrywanie, klasyfikacja dźwięku (z modułem NW I/O Box, który można kupić osobno)</v>
      </c>
      <c r="K246" s="43" t="s">
        <v>21</v>
      </c>
      <c r="L246" s="44">
        <v>3330.0</v>
      </c>
      <c r="M246" s="8"/>
      <c r="N246" s="45" t="s">
        <v>22</v>
      </c>
      <c r="O246" s="97"/>
      <c r="P246" s="36"/>
      <c r="Q246" s="35"/>
      <c r="R246" s="68"/>
      <c r="S246" s="68"/>
      <c r="T246" s="68"/>
      <c r="U246" s="35"/>
      <c r="V246" s="35"/>
      <c r="W246" s="35"/>
      <c r="X246" s="35"/>
      <c r="Y246" s="35"/>
      <c r="Z246" s="35"/>
      <c r="AA246" s="35"/>
      <c r="AB246" s="35"/>
      <c r="AC246" s="60"/>
      <c r="AD246" s="85"/>
      <c r="AE246" s="85"/>
      <c r="AF246" s="85"/>
      <c r="AG246" s="85"/>
      <c r="AH246" s="85"/>
      <c r="AI246" s="85"/>
      <c r="AJ246" s="85"/>
      <c r="AK246" s="85"/>
      <c r="AL246" s="85"/>
      <c r="AM246" s="85"/>
      <c r="AN246" s="85"/>
      <c r="AO246" s="85"/>
      <c r="AP246" s="85"/>
    </row>
    <row r="247" ht="70.5" customHeight="1">
      <c r="A247" s="29"/>
      <c r="B247" s="38" t="s">
        <v>118</v>
      </c>
      <c r="C247" s="39" t="s">
        <v>784</v>
      </c>
      <c r="D247" s="40" t="s">
        <v>785</v>
      </c>
      <c r="E247" s="40" t="s">
        <v>168</v>
      </c>
      <c r="F247" s="40" t="s">
        <v>623</v>
      </c>
      <c r="G247" s="39" t="s">
        <v>213</v>
      </c>
      <c r="H247" s="41" t="s">
        <v>19</v>
      </c>
      <c r="I247" s="48" t="s">
        <v>786</v>
      </c>
      <c r="J247" s="42" t="str">
        <f>IFERROR(__xludf.DUMMYFUNCTION("GOOGLETRANSLATE(I247,""en"",""pl"")"),"Seria X zasilana przez zewnętrzną kamerę PTZ sieciową Wisenet 5, 2 MP, Full HD (1080p) @ 60 kl./s, obiektyw z 55-krotnym zoomem optycznym (4,75 mm ~ 261,4 mm) (58,6º ~ 1,23º), obrót: 360° bez ograniczeń. Pochylenie: -5° ~ 185°, potrójny kodek H.265/H.264/"&amp;"MJPEG z technologią WiseStream II, WDR 120 dB, wbudowany IR 500 m, port USB do łatwej instalacji, zaawansowana analiza wideo i klasyfikacja dźwięku, tryb dzień/noc (ICR), podwójna karta SD, HLC, defog (optyczny) DIS (żyroskop), 24 VAC/HPoE, IP66/IK10, -58"&amp;"°F ~ +131°F z zasilaczem 24VAC")</f>
        <v>Seria X zasilana przez zewnętrzną kamerę PTZ sieciową Wisenet 5, 2 MP, Full HD (1080p) @ 60 kl./s, obiektyw z 55-krotnym zoomem optycznym (4,75 mm ~ 261,4 mm) (58,6º ~ 1,23º), obrót: 360° bez ograniczeń. Pochylenie: -5° ~ 185°, potrójny kodek H.265/H.264/MJPEG z technologią WiseStream II, WDR 120 dB, wbudowany IR 500 m, port USB do łatwej instalacji, zaawansowana analiza wideo i klasyfikacja dźwięku, tryb dzień/noc (ICR), podwójna karta SD, HLC, defog (optyczny) DIS (żyroskop), 24 VAC/HPoE, IP66/IK10, -58°F ~ +131°F z zasilaczem 24VAC</v>
      </c>
      <c r="K247" s="43" t="s">
        <v>21</v>
      </c>
      <c r="L247" s="44">
        <v>5570.0</v>
      </c>
      <c r="M247" s="8"/>
      <c r="N247" s="45" t="s">
        <v>22</v>
      </c>
      <c r="O247" s="97"/>
      <c r="P247" s="36"/>
      <c r="Q247" s="35"/>
      <c r="R247" s="111"/>
      <c r="S247" s="68"/>
      <c r="T247" s="112"/>
      <c r="U247" s="35"/>
      <c r="V247" s="35"/>
      <c r="W247" s="35"/>
      <c r="X247" s="35"/>
      <c r="Y247" s="35"/>
      <c r="Z247" s="35"/>
      <c r="AA247" s="35"/>
      <c r="AB247" s="35"/>
      <c r="AC247" s="60"/>
      <c r="AD247" s="85"/>
      <c r="AE247" s="85"/>
      <c r="AF247" s="85"/>
      <c r="AG247" s="85"/>
      <c r="AH247" s="85"/>
      <c r="AI247" s="85"/>
      <c r="AJ247" s="85"/>
      <c r="AK247" s="85"/>
      <c r="AL247" s="85"/>
      <c r="AM247" s="85"/>
      <c r="AN247" s="85"/>
      <c r="AO247" s="85"/>
      <c r="AP247" s="85"/>
    </row>
    <row r="248" ht="93.0" customHeight="1">
      <c r="A248" s="29"/>
      <c r="B248" s="38" t="s">
        <v>118</v>
      </c>
      <c r="C248" s="39" t="s">
        <v>787</v>
      </c>
      <c r="D248" s="40" t="s">
        <v>788</v>
      </c>
      <c r="E248" s="40" t="s">
        <v>168</v>
      </c>
      <c r="F248" s="40" t="s">
        <v>623</v>
      </c>
      <c r="G248" s="39" t="s">
        <v>213</v>
      </c>
      <c r="H248" s="41" t="s">
        <v>19</v>
      </c>
      <c r="I248" s="48" t="s">
        <v>789</v>
      </c>
      <c r="J248" s="42" t="str">
        <f>IFERROR(__xludf.DUMMYFUNCTION("GOOGLETRANSLATE(I248,""en"",""pl"")"),"Seria X zasilana przez zewnętrzną kamerę PTZ sieciową Wisenet 5, 2 MP @ 60 kl./s, Full HD (1080p), obiektyw z 12-krotnym zoomem optycznym (5,2 mm ~ 62,4 mm) (54,58º ~ 5,3º), zakres obrotu 360° bez ograniczeń, pochylenie: -5°~ 185°, potrójny kodek H.265/H."&amp;"264/MJPEG z WiseStream II, strumieniowanie wielokrotne, WDR 150 dB, True Day &amp; Night (ICR), zaawansowana analiza wideo i korekcja dźwięku, wykrywanie ruchu, wykrywanie mgły, automatyczne śledzenie, HLC, cyfrowa stabilizacja obrazu z wbudowanym czujnikiem "&amp;"żyroskopowym, dwukierunkowy dźwięk i dwa gniazda SD/SDHC/SDXC, port USB umożliwiający łatwą instalację, IP66, IK10, PoE/12 V DC")</f>
        <v>Seria X zasilana przez zewnętrzną kamerę PTZ sieciową Wisenet 5, 2 MP @ 60 kl./s, Full HD (1080p), obiektyw z 12-krotnym zoomem optycznym (5,2 mm ~ 62,4 mm) (54,58º ~ 5,3º), zakres obrotu 360° bez ograniczeń, pochylenie: -5°~ 185°, potrójny kodek H.265/H.264/MJPEG z WiseStream II, strumieniowanie wielokrotne, WDR 150 dB, True Day &amp; Night (ICR), zaawansowana analiza wideo i korekcja dźwięku, wykrywanie ruchu, wykrywanie mgły, automatyczne śledzenie, HLC, cyfrowa stabilizacja obrazu z wbudowanym czujnikiem żyroskopowym, dwukierunkowy dźwięk i dwa gniazda SD/SDHC/SDXC, port USB umożliwiający łatwą instalację, IP66, IK10, PoE/12 V DC</v>
      </c>
      <c r="K248" s="43" t="s">
        <v>21</v>
      </c>
      <c r="L248" s="44">
        <v>1664.0</v>
      </c>
      <c r="M248" s="8"/>
      <c r="N248" s="45" t="s">
        <v>22</v>
      </c>
      <c r="O248" s="97"/>
      <c r="P248" s="36"/>
      <c r="Q248" s="35"/>
      <c r="R248" s="68"/>
      <c r="S248" s="68"/>
      <c r="T248" s="68"/>
      <c r="U248" s="35"/>
      <c r="V248" s="35"/>
      <c r="W248" s="35"/>
      <c r="X248" s="35"/>
      <c r="Y248" s="35"/>
      <c r="Z248" s="35"/>
      <c r="AA248" s="35"/>
      <c r="AB248" s="35"/>
      <c r="AC248" s="60"/>
      <c r="AD248" s="85"/>
      <c r="AE248" s="85"/>
      <c r="AF248" s="85"/>
      <c r="AG248" s="85"/>
      <c r="AH248" s="85"/>
      <c r="AI248" s="85"/>
      <c r="AJ248" s="85"/>
      <c r="AK248" s="85"/>
      <c r="AL248" s="85"/>
      <c r="AM248" s="85"/>
      <c r="AN248" s="85"/>
      <c r="AO248" s="85"/>
      <c r="AP248" s="85"/>
    </row>
    <row r="249" ht="109.5" customHeight="1">
      <c r="A249" s="29"/>
      <c r="B249" s="38" t="s">
        <v>118</v>
      </c>
      <c r="C249" s="39" t="s">
        <v>790</v>
      </c>
      <c r="D249" s="40" t="s">
        <v>791</v>
      </c>
      <c r="E249" s="40" t="s">
        <v>168</v>
      </c>
      <c r="F249" s="40" t="s">
        <v>623</v>
      </c>
      <c r="G249" s="39" t="s">
        <v>213</v>
      </c>
      <c r="H249" s="41" t="s">
        <v>19</v>
      </c>
      <c r="I249" s="48" t="s">
        <v>792</v>
      </c>
      <c r="J249" s="42" t="str">
        <f>IFERROR(__xludf.DUMMYFUNCTION("GOOGLETRANSLATE(I249,""en"",""pl"")"),"Seria X zasilana przez zewnętrzną kamerę PTZ sieciową Wisenet 5, 2 MP @ 60 kl./s, Full HD (1080p), obiektyw z 4,3-krotnym zoomem optycznym (2,8 mm ~ 12 mm) (119,5º ~ 27,9º), obrót: 0°~350°. pochylenie: 0°~ 90°, potrójny kodek H.265/H.264/MJPEG z WiseStrea"&amp;"m II, strumieniowanie wielokrotne, WDR 150 dB, True Day &amp; Night (ICR), zaawansowana analiza wideo i korekcja dźwięku, detekcja ruchu, detekcja mgły, detekcja rozmycia, automatyczne śledzenie, HLC, cyfrowa stabilizacja obrazu z wbudowanym czujnikiem żyrosk"&amp;"opowym, dwukierunkowy dźwięk i gniazdo SD/SDHC/SDXC, port USB ułatwiający instalację, IP66, IK10, PoE/12 V DC")</f>
        <v>Seria X zasilana przez zewnętrzną kamerę PTZ sieciową Wisenet 5, 2 MP @ 60 kl./s, Full HD (1080p), obiektyw z 4,3-krotnym zoomem optycznym (2,8 mm ~ 12 mm) (119,5º ~ 27,9º), obrót: 0°~350°. pochylenie: 0°~ 90°, potrójny kodek H.265/H.264/MJPEG z WiseStream II, strumieniowanie wielokrotne, WDR 150 dB, True Day &amp; Night (ICR), zaawansowana analiza wideo i korekcja dźwięku, detekcja ruchu, detekcja mgły, detekcja rozmycia, automatyczne śledzenie, HLC, cyfrowa stabilizacja obrazu z wbudowanym czujnikiem żyroskopowym, dwukierunkowy dźwięk i gniazdo SD/SDHC/SDXC, port USB ułatwiający instalację, IP66, IK10, PoE/12 V DC</v>
      </c>
      <c r="K249" s="43" t="s">
        <v>21</v>
      </c>
      <c r="L249" s="44">
        <v>1100.0</v>
      </c>
      <c r="M249" s="8"/>
      <c r="N249" s="45" t="s">
        <v>22</v>
      </c>
      <c r="O249" s="97"/>
      <c r="P249" s="36"/>
      <c r="Q249" s="35"/>
      <c r="R249" s="68"/>
      <c r="S249" s="68"/>
      <c r="T249" s="68"/>
      <c r="U249" s="35"/>
      <c r="V249" s="35"/>
      <c r="W249" s="35"/>
      <c r="X249" s="35"/>
      <c r="Y249" s="35"/>
      <c r="Z249" s="35"/>
      <c r="AA249" s="35"/>
      <c r="AB249" s="35"/>
      <c r="AC249" s="60"/>
      <c r="AD249" s="85"/>
      <c r="AE249" s="85"/>
      <c r="AF249" s="85"/>
      <c r="AG249" s="85"/>
      <c r="AH249" s="85"/>
      <c r="AI249" s="85"/>
      <c r="AJ249" s="85"/>
      <c r="AK249" s="85"/>
      <c r="AL249" s="85"/>
      <c r="AM249" s="85"/>
      <c r="AN249" s="85"/>
      <c r="AO249" s="85"/>
      <c r="AP249" s="85"/>
    </row>
    <row r="250" ht="99.75" customHeight="1">
      <c r="A250" s="29"/>
      <c r="B250" s="38" t="s">
        <v>118</v>
      </c>
      <c r="C250" s="39" t="s">
        <v>793</v>
      </c>
      <c r="D250" s="40" t="s">
        <v>794</v>
      </c>
      <c r="E250" s="40" t="s">
        <v>168</v>
      </c>
      <c r="F250" s="40" t="s">
        <v>623</v>
      </c>
      <c r="G250" s="39" t="s">
        <v>795</v>
      </c>
      <c r="H250" s="41" t="s">
        <v>19</v>
      </c>
      <c r="I250" s="48" t="s">
        <v>796</v>
      </c>
      <c r="J250" s="42" t="str">
        <f>IFERROR(__xludf.DUMMYFUNCTION("GOOGLETRANSLATE(I250,""en"",""pl"")"),"Seria X zasilana przez kamerę sieciową Wisenet 5 z zoomem optycznym, 2 MP @60 kl./s, obiektyw z zoomem optycznym 4,44 ~ 142,6 mm (32x), H.265/H.264/MJPEG z WiseStream II, strumieniowanie wielokrotne, WDR 120 dB, True Day &amp; Night (ICR), gniazdo Sfps, wykry"&amp;"wanie braku ostrości, wykrywanie kierunkowe, wykrywanie mgły, wykrywanie twarzy, wykrywanie ruchu, pojawianie się/znikanie, wejście/wyjście, włóczęgostwo, manipulacja, wirtualna linia, wykrywanie dźwięku, klasyfikacja dźwięku, wykrywanie wstrząsów, HLC, c"&amp;"yfrowa stabilizacja obrazu z wbudowanym czujnikiem żyroskopowym, dwukierunkowy dźwięk i gniazdo Micro SD/SDHC/SDXC 2 o pojemności 512 GB, port USB ułatwiający instalację, PoE/12 V DC")</f>
        <v>Seria X zasilana przez kamerę sieciową Wisenet 5 z zoomem optycznym, 2 MP @60 kl./s, obiektyw z zoomem optycznym 4,44 ~ 142,6 mm (32x), H.265/H.264/MJPEG z WiseStream II, strumieniowanie wielokrotne, WDR 120 dB, True Day &amp; Night (ICR), gniazdo Sfps, wykrywanie braku ostrości, wykrywanie kierunkowe, wykrywanie mgły, wykrywanie twarzy, wykrywanie ruchu, pojawianie się/znikanie, wejście/wyjście, włóczęgostwo, manipulacja, wirtualna linia, wykrywanie dźwięku, klasyfikacja dźwięku, wykrywanie wstrząsów, HLC, cyfrowa stabilizacja obrazu z wbudowanym czujnikiem żyroskopowym, dwukierunkowy dźwięk i gniazdo Micro SD/SDHC/SDXC 2 o pojemności 512 GB, port USB ułatwiający instalację, PoE/12 V DC</v>
      </c>
      <c r="K250" s="43" t="s">
        <v>21</v>
      </c>
      <c r="L250" s="44">
        <v>1488.0</v>
      </c>
      <c r="M250" s="8"/>
      <c r="N250" s="45" t="s">
        <v>22</v>
      </c>
      <c r="O250" s="97"/>
      <c r="P250" s="36"/>
      <c r="Q250" s="35"/>
      <c r="R250" s="68"/>
      <c r="S250" s="68"/>
      <c r="T250" s="68"/>
      <c r="U250" s="35"/>
      <c r="V250" s="35"/>
      <c r="W250" s="35"/>
      <c r="X250" s="35"/>
      <c r="Y250" s="35"/>
      <c r="Z250" s="35"/>
      <c r="AA250" s="35"/>
      <c r="AB250" s="35"/>
      <c r="AC250" s="60"/>
      <c r="AD250" s="85"/>
      <c r="AE250" s="85"/>
      <c r="AF250" s="85"/>
      <c r="AG250" s="85"/>
      <c r="AH250" s="85"/>
      <c r="AI250" s="85"/>
      <c r="AJ250" s="85"/>
      <c r="AK250" s="85"/>
      <c r="AL250" s="85"/>
      <c r="AM250" s="85"/>
      <c r="AN250" s="85"/>
      <c r="AO250" s="85"/>
      <c r="AP250" s="85"/>
    </row>
    <row r="251" ht="99.75" customHeight="1">
      <c r="A251" s="29"/>
      <c r="B251" s="38" t="s">
        <v>118</v>
      </c>
      <c r="C251" s="39" t="s">
        <v>797</v>
      </c>
      <c r="D251" s="40" t="s">
        <v>794</v>
      </c>
      <c r="E251" s="40" t="s">
        <v>168</v>
      </c>
      <c r="F251" s="40" t="s">
        <v>623</v>
      </c>
      <c r="G251" s="39" t="s">
        <v>795</v>
      </c>
      <c r="H251" s="41" t="s">
        <v>19</v>
      </c>
      <c r="I251" s="48" t="s">
        <v>798</v>
      </c>
      <c r="J251" s="42" t="str">
        <f>IFERROR(__xludf.DUMMYFUNCTION("GOOGLETRANSLATE(I251,""en"",""pl"")"),"Seria X zasilana przez kamerę sieciową Wisenet 5 z zoomem optycznym, 2 MP @60fps, obiektyw z zoomem optycznym 4,44 ~ 142,6 mm (32x), H.265/H.264/MJPEG z WiseStream II, strumieniowanie wielokrotne, WDR 120 dB, True Day &amp; Night (ICR), wykrywanie braku ostro"&amp;"ści, wykrywanie kierunkowe, wykrywanie mgły, wykrywanie twarzy, wykrywanie ruchu, pojawianie się/znikanie, wejście/wyjście, włóczęgostwo, manipulacja, wirtualna linia, wykrywanie dźwięku, klasyfikacja dźwięku, HLC, cyfrowa stabilizacja obrazu, dwukierunko"&amp;"wy dźwięk i gniazdo Micro SD/SDHC/SDXC 1 o pojemności 256 GB, PoE/12 V DC")</f>
        <v>Seria X zasilana przez kamerę sieciową Wisenet 5 z zoomem optycznym, 2 MP @60fps, obiektyw z zoomem optycznym 4,44 ~ 142,6 mm (32x), H.265/H.264/MJPEG z WiseStream II, strumieniowanie wielokrotne, WDR 120 dB, True Day &amp; Night (ICR), wykrywanie braku ostrości, wykrywanie kierunkowe, wykrywanie mgły, wykrywanie twarzy, wykrywanie ruchu, pojawianie się/znikanie, wejście/wyjście, włóczęgostwo, manipulacja, wirtualna linia, wykrywanie dźwięku, klasyfikacja dźwięku, HLC, cyfrowa stabilizacja obrazu, dwukierunkowy dźwięk i gniazdo Micro SD/SDHC/SDXC 1 o pojemności 256 GB, PoE/12 V DC</v>
      </c>
      <c r="K251" s="43" t="s">
        <v>21</v>
      </c>
      <c r="L251" s="44">
        <v>1352.0</v>
      </c>
      <c r="M251" s="8"/>
      <c r="N251" s="45" t="s">
        <v>22</v>
      </c>
      <c r="O251" s="97"/>
      <c r="P251" s="36"/>
      <c r="Q251" s="35"/>
      <c r="R251" s="68"/>
      <c r="S251" s="68"/>
      <c r="T251" s="68"/>
      <c r="U251" s="35"/>
      <c r="V251" s="35"/>
      <c r="W251" s="35"/>
      <c r="X251" s="35"/>
      <c r="Y251" s="35"/>
      <c r="Z251" s="35"/>
      <c r="AA251" s="35"/>
      <c r="AB251" s="35"/>
      <c r="AC251" s="60"/>
      <c r="AD251" s="85"/>
      <c r="AE251" s="85"/>
      <c r="AF251" s="85"/>
      <c r="AG251" s="85"/>
      <c r="AH251" s="85"/>
      <c r="AI251" s="85"/>
      <c r="AJ251" s="85"/>
      <c r="AK251" s="85"/>
      <c r="AL251" s="85"/>
      <c r="AM251" s="85"/>
      <c r="AN251" s="85"/>
      <c r="AO251" s="85"/>
      <c r="AP251" s="85"/>
    </row>
    <row r="252" ht="90.0" customHeight="1">
      <c r="A252" s="29"/>
      <c r="B252" s="116" t="s">
        <v>118</v>
      </c>
      <c r="C252" s="39" t="s">
        <v>799</v>
      </c>
      <c r="D252" s="40" t="s">
        <v>719</v>
      </c>
      <c r="E252" s="40" t="s">
        <v>174</v>
      </c>
      <c r="F252" s="40" t="s">
        <v>623</v>
      </c>
      <c r="G252" s="39" t="s">
        <v>18</v>
      </c>
      <c r="H252" s="41" t="s">
        <v>19</v>
      </c>
      <c r="I252" s="48" t="s">
        <v>800</v>
      </c>
      <c r="J252" s="42" t="str">
        <f>IFERROR(__xludf.DUMMYFUNCTION("GOOGLETRANSLATE(I252,""en"",""pl"")"),"Kamera zewnętrzna z serii Q z kamerą typu bullet z podczerwienią i zabezpieczeniem przed wandalizmem, 2 MP @30 kl./s, obiektyw zmiennoogniskowy z napędem silnikowym 3,2–10,0 mm (3,1x) (109,0°–33,2°), potrójny kodek H.265/H.264/MJPEG z technologią WiseStre"&amp;"am II, strumieniowanie wielokrotne, WDR 120 dB, tryb True Day &amp; Night (ICR), widoczność podczerwieni 30 m, wykrywanie ruchu, wykrywanie manipulacji, wykrywanie braku ostrości, widok korytarzowy, dwukierunkowy dźwięk i gniazdo microSD/SDHC/SDXC, obsługa LD"&amp;"C (korekcja zniekształceń obiektywu), IP66, IK10, PoE/12 V DC")</f>
        <v>Kamera zewnętrzna z serii Q z kamerą typu bullet z podczerwienią i zabezpieczeniem przed wandalizmem, 2 MP @30 kl./s, obiektyw zmiennoogniskowy z napędem silnikowym 3,2–10,0 mm (3,1x) (109,0°–33,2°), potrójny kodek H.265/H.264/MJPEG z technologią WiseStream II, strumieniowanie wielokrotne, WDR 120 dB, tryb True Day &amp; Night (ICR), widoczność podczerwieni 30 m, wykrywanie ruchu, wykrywanie manipulacji, wykrywanie braku ostrości, widok korytarzowy, dwukierunkowy dźwięk i gniazdo microSD/SDHC/SDXC, obsługa LDC (korekcja zniekształceń obiektywu), IP66, IK10, PoE/12 V DC</v>
      </c>
      <c r="K252" s="43" t="s">
        <v>21</v>
      </c>
      <c r="L252" s="44">
        <v>519.0</v>
      </c>
      <c r="M252" s="8"/>
      <c r="N252" s="45" t="s">
        <v>22</v>
      </c>
      <c r="O252" s="97"/>
      <c r="P252" s="36"/>
      <c r="Q252" s="35"/>
      <c r="R252" s="68"/>
      <c r="S252" s="68"/>
      <c r="T252" s="68"/>
      <c r="U252" s="35"/>
      <c r="V252" s="35"/>
      <c r="W252" s="35"/>
      <c r="X252" s="35"/>
      <c r="Y252" s="35"/>
      <c r="Z252" s="35"/>
      <c r="AA252" s="35"/>
      <c r="AB252" s="35"/>
      <c r="AC252" s="60"/>
      <c r="AD252" s="85"/>
      <c r="AE252" s="85"/>
      <c r="AF252" s="85"/>
      <c r="AG252" s="85"/>
      <c r="AH252" s="85"/>
      <c r="AI252" s="85"/>
      <c r="AJ252" s="85"/>
      <c r="AK252" s="85"/>
      <c r="AL252" s="85"/>
      <c r="AM252" s="85"/>
      <c r="AN252" s="85"/>
      <c r="AO252" s="85"/>
      <c r="AP252" s="85"/>
    </row>
    <row r="253" ht="90.0" customHeight="1">
      <c r="A253" s="29"/>
      <c r="B253" s="116" t="s">
        <v>118</v>
      </c>
      <c r="C253" s="39" t="s">
        <v>801</v>
      </c>
      <c r="D253" s="40" t="s">
        <v>719</v>
      </c>
      <c r="E253" s="40" t="s">
        <v>174</v>
      </c>
      <c r="F253" s="40" t="s">
        <v>623</v>
      </c>
      <c r="G253" s="39" t="s">
        <v>18</v>
      </c>
      <c r="H253" s="41" t="s">
        <v>19</v>
      </c>
      <c r="I253" s="48" t="s">
        <v>802</v>
      </c>
      <c r="J253" s="42" t="str">
        <f>IFERROR(__xludf.DUMMYFUNCTION("GOOGLETRANSLATE(I253,""en"",""pl"")"),"Kamera zewnętrzna z serii Q z kamerą typu bullet z podczerwienią i zabezpieczeniem przed wandalizmem (bez dźwięku), 2 MP @30 kl./s, obiektyw zmiennoogniskowy z napędem silnikowym 3,2–10,0 mm (3,1x), H.265/H.264/MJPEG, strumieniowanie wielokrotne, WDR 120 "&amp;"dB, tryb dzień/noc (automatyczne ICR), zasięg widzenia w podczerwieni 30 m, wykrywanie ruchu, manipulacja, wykrywanie braku ostrości, widok korytarza (90°/270°), gniazdo na karty micro SD/SDHC/SDXC, obsługa LDC (korekcja zniekształceń obiektywu), IP66, IK"&amp;"10, PoE/12 V DC")</f>
        <v>Kamera zewnętrzna z serii Q z kamerą typu bullet z podczerwienią i zabezpieczeniem przed wandalizmem (bez dźwięku), 2 MP @30 kl./s, obiektyw zmiennoogniskowy z napędem silnikowym 3,2–10,0 mm (3,1x), H.265/H.264/MJPEG, strumieniowanie wielokrotne, WDR 120 dB, tryb dzień/noc (automatyczne ICR), zasięg widzenia w podczerwieni 30 m, wykrywanie ruchu, manipulacja, wykrywanie braku ostrości, widok korytarza (90°/270°), gniazdo na karty micro SD/SDHC/SDXC, obsługa LDC (korekcja zniekształceń obiektywu), IP66, IK10, PoE/12 V DC</v>
      </c>
      <c r="K253" s="43" t="s">
        <v>21</v>
      </c>
      <c r="L253" s="44">
        <v>472.0</v>
      </c>
      <c r="M253" s="8"/>
      <c r="N253" s="45" t="s">
        <v>22</v>
      </c>
      <c r="O253" s="97"/>
      <c r="P253" s="36"/>
      <c r="Q253" s="35"/>
      <c r="R253" s="68"/>
      <c r="S253" s="68"/>
      <c r="T253" s="68"/>
      <c r="U253" s="35"/>
      <c r="V253" s="35"/>
      <c r="W253" s="35"/>
      <c r="X253" s="35"/>
      <c r="Y253" s="35"/>
      <c r="Z253" s="35"/>
      <c r="AA253" s="35"/>
      <c r="AB253" s="35"/>
      <c r="AC253" s="60"/>
      <c r="AD253" s="85"/>
      <c r="AE253" s="85"/>
      <c r="AF253" s="85"/>
      <c r="AG253" s="85"/>
      <c r="AH253" s="85"/>
      <c r="AI253" s="85"/>
      <c r="AJ253" s="85"/>
      <c r="AK253" s="85"/>
      <c r="AL253" s="85"/>
      <c r="AM253" s="85"/>
      <c r="AN253" s="85"/>
      <c r="AO253" s="85"/>
      <c r="AP253" s="85"/>
    </row>
    <row r="254" ht="90.0" customHeight="1">
      <c r="A254" s="29"/>
      <c r="B254" s="38" t="s">
        <v>118</v>
      </c>
      <c r="C254" s="39" t="s">
        <v>803</v>
      </c>
      <c r="D254" s="40" t="s">
        <v>719</v>
      </c>
      <c r="E254" s="40" t="s">
        <v>174</v>
      </c>
      <c r="F254" s="40" t="s">
        <v>623</v>
      </c>
      <c r="G254" s="39" t="s">
        <v>18</v>
      </c>
      <c r="H254" s="41" t="s">
        <v>19</v>
      </c>
      <c r="I254" s="48" t="s">
        <v>804</v>
      </c>
      <c r="J254" s="42" t="str">
        <f>IFERROR(__xludf.DUMMYFUNCTION("GOOGLETRANSLATE(I254,""en"",""pl"")"),"Kamera zewnętrzna z serii Q z kamerą typu bullet z IR i wandalizmem, 2 MP @30 kl./s, obiektyw stałoogniskowy 4 mm (87,6°), potrójny kodek H.265/H.264/MJPEG z WiseStream, strumieniowanie wielokrotne, WDR 120 dB, True Day &amp; Night (ICR), widoczność podczerwi"&amp;"eni 25 m, wykrywanie ruchu, manipulacja, wykrywanie braku ostrości, widok korytarzowy, jednokierunkowy dźwięk i gniazdo microSD/SDHC/SDXC, obsługa LDC (korekcja zniekształceń obiektywu), IP66, IK10, PoE/12 V DC")</f>
        <v>Kamera zewnętrzna z serii Q z kamerą typu bullet z IR i wandalizmem, 2 MP @30 kl./s, obiektyw stałoogniskowy 4 mm (87,6°), potrójny kodek H.265/H.264/MJPEG z WiseStream, strumieniowanie wielokrotne, WDR 120 dB, True Day &amp; Night (ICR), widoczność podczerwieni 25 m, wykrywanie ruchu, manipulacja, wykrywanie braku ostrości, widok korytarzowy, jednokierunkowy dźwięk i gniazdo microSD/SDHC/SDXC, obsługa LDC (korekcja zniekształceń obiektywu), IP66, IK10, PoE/12 V DC</v>
      </c>
      <c r="K254" s="43" t="s">
        <v>21</v>
      </c>
      <c r="L254" s="44">
        <v>343.0</v>
      </c>
      <c r="M254" s="8"/>
      <c r="N254" s="45" t="s">
        <v>22</v>
      </c>
      <c r="O254" s="97"/>
      <c r="P254" s="36"/>
      <c r="Q254" s="35"/>
      <c r="R254" s="68"/>
      <c r="S254" s="68"/>
      <c r="T254" s="68"/>
      <c r="U254" s="35"/>
      <c r="V254" s="35"/>
      <c r="W254" s="35"/>
      <c r="X254" s="35"/>
      <c r="Y254" s="35"/>
      <c r="Z254" s="35"/>
      <c r="AA254" s="35"/>
      <c r="AB254" s="35"/>
      <c r="AC254" s="60"/>
      <c r="AD254" s="85"/>
      <c r="AE254" s="85"/>
      <c r="AF254" s="85"/>
      <c r="AG254" s="85"/>
      <c r="AH254" s="85"/>
      <c r="AI254" s="85"/>
      <c r="AJ254" s="85"/>
      <c r="AK254" s="85"/>
      <c r="AL254" s="85"/>
      <c r="AM254" s="85"/>
      <c r="AN254" s="85"/>
      <c r="AO254" s="85"/>
      <c r="AP254" s="85"/>
    </row>
    <row r="255" ht="90.0" customHeight="1">
      <c r="A255" s="29"/>
      <c r="B255" s="38" t="s">
        <v>118</v>
      </c>
      <c r="C255" s="39" t="s">
        <v>805</v>
      </c>
      <c r="D255" s="40" t="s">
        <v>719</v>
      </c>
      <c r="E255" s="40" t="s">
        <v>174</v>
      </c>
      <c r="F255" s="40" t="s">
        <v>623</v>
      </c>
      <c r="G255" s="39" t="s">
        <v>18</v>
      </c>
      <c r="H255" s="41" t="s">
        <v>19</v>
      </c>
      <c r="I255" s="48" t="s">
        <v>806</v>
      </c>
      <c r="J255" s="42" t="str">
        <f>IFERROR(__xludf.DUMMYFUNCTION("GOOGLETRANSLATE(I255,""en"",""pl"")"),"Kamera zewnętrzna z serii Q z kamerą typu bullet z IR i funkcją wandaloodporną (bez dźwięku), 2 MP @30 kl./s, obiektyw stałoogniskowy 4 mm, potrójny kodek H.265/H.264/MJPEG z funkcją WiseStream, strumieniowanie wielokrotne, WDR 120 dB, True Day &amp; Night (I"&amp;"CR), widoczność podczerwieni 25 m, wykrywanie ruchu, manipulacja, wykrywanie braku ostrości, widok korytarza (90°/270°), gniazdo micro SD/SDHC/SDXC, obsługa LDC (korekcja zniekształceń obiektywu), IP66, IK10, PoE/12 V DC")</f>
        <v>Kamera zewnętrzna z serii Q z kamerą typu bullet z IR i funkcją wandaloodporną (bez dźwięku), 2 MP @30 kl./s, obiektyw stałoogniskowy 4 mm, potrójny kodek H.265/H.264/MJPEG z funkcją WiseStream, strumieniowanie wielokrotne, WDR 120 dB, True Day &amp; Night (ICR), widoczność podczerwieni 25 m, wykrywanie ruchu, manipulacja, wykrywanie braku ostrości, widok korytarza (90°/270°), gniazdo micro SD/SDHC/SDXC, obsługa LDC (korekcja zniekształceń obiektywu), IP66, IK10, PoE/12 V DC</v>
      </c>
      <c r="K255" s="43" t="s">
        <v>21</v>
      </c>
      <c r="L255" s="44">
        <v>312.0</v>
      </c>
      <c r="M255" s="8"/>
      <c r="N255" s="45" t="s">
        <v>22</v>
      </c>
      <c r="O255" s="97"/>
      <c r="P255" s="36"/>
      <c r="Q255" s="35"/>
      <c r="R255" s="68"/>
      <c r="S255" s="68"/>
      <c r="T255" s="68"/>
      <c r="U255" s="35"/>
      <c r="V255" s="35"/>
      <c r="W255" s="35"/>
      <c r="X255" s="35"/>
      <c r="Y255" s="35"/>
      <c r="Z255" s="35"/>
      <c r="AA255" s="35"/>
      <c r="AB255" s="35"/>
      <c r="AC255" s="60"/>
      <c r="AD255" s="85"/>
      <c r="AE255" s="85"/>
      <c r="AF255" s="85"/>
      <c r="AG255" s="85"/>
      <c r="AH255" s="85"/>
      <c r="AI255" s="85"/>
      <c r="AJ255" s="85"/>
      <c r="AK255" s="85"/>
      <c r="AL255" s="85"/>
      <c r="AM255" s="85"/>
      <c r="AN255" s="85"/>
      <c r="AO255" s="85"/>
      <c r="AP255" s="85"/>
    </row>
    <row r="256" ht="90.0" customHeight="1">
      <c r="A256" s="29"/>
      <c r="B256" s="38" t="s">
        <v>118</v>
      </c>
      <c r="C256" s="39" t="s">
        <v>807</v>
      </c>
      <c r="D256" s="40" t="s">
        <v>719</v>
      </c>
      <c r="E256" s="40" t="s">
        <v>174</v>
      </c>
      <c r="F256" s="40" t="s">
        <v>623</v>
      </c>
      <c r="G256" s="39" t="s">
        <v>18</v>
      </c>
      <c r="H256" s="41" t="s">
        <v>19</v>
      </c>
      <c r="I256" s="48" t="s">
        <v>808</v>
      </c>
      <c r="J256" s="42" t="str">
        <f>IFERROR(__xludf.DUMMYFUNCTION("GOOGLETRANSLATE(I256,""en"",""pl"")"),"Kamera zewnętrzna z serii Q z kamerą typu bullet z IR, 2 MP @30 kl./s, obiektyw stałoogniskowy 2,8 mm (113,74°), potrójny kodek H.265/H.264/MJPEG z WiseStream, strumieniowanie wielokrotne, WDR 120 dB, True Day &amp; Night (ICR), widoczność podczerwieni 20 m, "&amp;"wykrywanie ruchu, manipulacja, wykrywanie braku ostrości, widok korytarzowy, jednokierunkowy dźwięk i gniazdo microSD/SDHC/SDXC, obsługa LDC (korekcja zniekształceń obiektywu), IP66, IK10, PoE/12 V DC")</f>
        <v>Kamera zewnętrzna z serii Q z kamerą typu bullet z IR, 2 MP @30 kl./s, obiektyw stałoogniskowy 2,8 mm (113,74°),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IP66, IK10, PoE/12 V DC</v>
      </c>
      <c r="K256" s="43" t="s">
        <v>21</v>
      </c>
      <c r="L256" s="44">
        <v>343.0</v>
      </c>
      <c r="M256" s="8"/>
      <c r="N256" s="45" t="s">
        <v>22</v>
      </c>
      <c r="O256" s="97"/>
      <c r="P256" s="36"/>
      <c r="Q256" s="35"/>
      <c r="R256" s="68"/>
      <c r="S256" s="68"/>
      <c r="T256" s="68"/>
      <c r="U256" s="35"/>
      <c r="V256" s="35"/>
      <c r="W256" s="35"/>
      <c r="X256" s="35"/>
      <c r="Y256" s="35"/>
      <c r="Z256" s="35"/>
      <c r="AA256" s="35"/>
      <c r="AB256" s="35"/>
      <c r="AC256" s="60"/>
      <c r="AD256" s="85"/>
      <c r="AE256" s="85"/>
      <c r="AF256" s="85"/>
      <c r="AG256" s="85"/>
      <c r="AH256" s="85"/>
      <c r="AI256" s="85"/>
      <c r="AJ256" s="85"/>
      <c r="AK256" s="85"/>
      <c r="AL256" s="85"/>
      <c r="AM256" s="85"/>
      <c r="AN256" s="85"/>
      <c r="AO256" s="85"/>
      <c r="AP256" s="85"/>
    </row>
    <row r="257" ht="90.0" customHeight="1">
      <c r="A257" s="29"/>
      <c r="B257" s="38" t="s">
        <v>118</v>
      </c>
      <c r="C257" s="39" t="s">
        <v>809</v>
      </c>
      <c r="D257" s="40" t="s">
        <v>719</v>
      </c>
      <c r="E257" s="40" t="s">
        <v>174</v>
      </c>
      <c r="F257" s="40" t="s">
        <v>623</v>
      </c>
      <c r="G257" s="39" t="s">
        <v>18</v>
      </c>
      <c r="H257" s="41" t="s">
        <v>19</v>
      </c>
      <c r="I257" s="48" t="s">
        <v>810</v>
      </c>
      <c r="J257" s="42" t="str">
        <f>IFERROR(__xludf.DUMMYFUNCTION("GOOGLETRANSLATE(I257,""en"",""pl"")"),"Kamera zewnętrzna z serii Q z kamerą typu bullet z IR i funkcją wandaloodporną (bez dźwięku), 2 MP @30 kl./s, obiektyw stałoogniskowy 2,8 mm, potrójny kodek H.265/H.264/MJPEG z funkcją WiseStream, strumieniowanie wielokrotne, WDR 120 dB, True Day &amp; Night "&amp;"(ICR), zasięg widzenia w podczerwieni 20 m, wykrywanie ruchu, manipulacja, wykrywanie braku ostrości, widok korytarza (90°/270°), gniazdo microSD/SDHC/SDXC, obsługa LDC (korekcja zniekształceń obiektywu), IP66, IK10, PoE/12 V DC")</f>
        <v>Kamera zewnętrzna z serii Q z kamerą typu bullet z IR i funkcją wandaloodporną (bez dźwięku), 2 MP @30 kl./s, obiektyw stałoogniskowy 2,8 mm, potrójny kodek H.265/H.264/MJPEG z funkcją WiseStream, strumieniowanie wielokrotne, WDR 120 dB, True Day &amp; Night (ICR), zasięg widzenia w podczerwieni 20 m, wykrywanie ruchu, manipulacja, wykrywanie braku ostrości, widok korytarza (90°/270°), gniazdo microSD/SDHC/SDXC, obsługa LDC (korekcja zniekształceń obiektywu), IP66, IK10, PoE/12 V DC</v>
      </c>
      <c r="K257" s="43" t="s">
        <v>21</v>
      </c>
      <c r="L257" s="44">
        <v>312.0</v>
      </c>
      <c r="M257" s="8"/>
      <c r="N257" s="45" t="s">
        <v>22</v>
      </c>
      <c r="O257" s="97"/>
      <c r="P257" s="36"/>
      <c r="Q257" s="35"/>
      <c r="R257" s="68"/>
      <c r="S257" s="68"/>
      <c r="T257" s="68"/>
      <c r="U257" s="35"/>
      <c r="V257" s="35"/>
      <c r="W257" s="35"/>
      <c r="X257" s="35"/>
      <c r="Y257" s="35"/>
      <c r="Z257" s="35"/>
      <c r="AA257" s="35"/>
      <c r="AB257" s="35"/>
      <c r="AC257" s="60"/>
      <c r="AD257" s="85"/>
      <c r="AE257" s="85"/>
      <c r="AF257" s="85"/>
      <c r="AG257" s="85"/>
      <c r="AH257" s="85"/>
      <c r="AI257" s="85"/>
      <c r="AJ257" s="85"/>
      <c r="AK257" s="85"/>
      <c r="AL257" s="85"/>
      <c r="AM257" s="85"/>
      <c r="AN257" s="85"/>
      <c r="AO257" s="85"/>
      <c r="AP257" s="85"/>
    </row>
    <row r="258" ht="90.0" customHeight="1">
      <c r="A258" s="29"/>
      <c r="B258" s="38" t="s">
        <v>118</v>
      </c>
      <c r="C258" s="39" t="s">
        <v>811</v>
      </c>
      <c r="D258" s="40" t="s">
        <v>812</v>
      </c>
      <c r="E258" s="40" t="s">
        <v>174</v>
      </c>
      <c r="F258" s="40" t="s">
        <v>623</v>
      </c>
      <c r="G258" s="39" t="s">
        <v>192</v>
      </c>
      <c r="H258" s="41" t="s">
        <v>19</v>
      </c>
      <c r="I258" s="48" t="s">
        <v>813</v>
      </c>
      <c r="J258" s="42" t="str">
        <f>IFERROR(__xludf.DUMMYFUNCTION("GOOGLETRANSLATE(I258,""en"",""pl"")"),"Kamera kopułkowa sieciowa IR serii Q do użytku wewnętrznego, 2 MP @30 kl./s, obiektyw zmiennoogniskowy z napędem silnikowym 3,2 ~ 10,0 mm (3,1x) (109,0°~33,2°), potrójny kodek H.265/H.264/MJPEG z WiseStream II, strumieniowanie wielokrotne, WDR 120 dB, Tru"&amp;"e Day &amp; Night (ICR), widoczność podczerwieni 20 m, wykrywanie ruchu, wykrywanie manipulacji, wykrywanie braku ostrości, widok korytarzowy, dwukierunkowy dźwięk i gniazdo microSD/SDHC/SDXC, obsługa LDC (korekcja zniekształceń obiektywu), PoE/12 V DC")</f>
        <v>Kamera kopułkowa sieciowa IR serii Q do użytku wewnętrznego, 2 MP @30 kl./s, obiektyw zmiennoogniskowy z napędem silnikowym 3,2 ~ 10,0 mm (3,1x) (109,0°~33,2°), potrójny kodek H.265/H.264/MJPEG z WiseStream II, strumieniowanie wielokrotne, WDR 120 dB, True Day &amp; Night (ICR), widoczność podczerwieni 20 m, wykrywanie ruchu, wykrywanie manipulacji, wykrywanie braku ostrości, widok korytarzowy, dwukierunkowy dźwięk i gniazdo microSD/SDHC/SDXC, obsługa LDC (korekcja zniekształceń obiektywu), PoE/12 V DC</v>
      </c>
      <c r="K258" s="43" t="s">
        <v>21</v>
      </c>
      <c r="L258" s="44">
        <v>459.0</v>
      </c>
      <c r="M258" s="8"/>
      <c r="N258" s="45" t="s">
        <v>22</v>
      </c>
      <c r="O258" s="97"/>
      <c r="P258" s="36"/>
      <c r="Q258" s="35"/>
      <c r="R258" s="68"/>
      <c r="S258" s="68"/>
      <c r="T258" s="68"/>
      <c r="U258" s="35"/>
      <c r="V258" s="35"/>
      <c r="W258" s="35"/>
      <c r="X258" s="35"/>
      <c r="Y258" s="35"/>
      <c r="Z258" s="35"/>
      <c r="AA258" s="35"/>
      <c r="AB258" s="35"/>
      <c r="AC258" s="60"/>
      <c r="AD258" s="85"/>
      <c r="AE258" s="85"/>
      <c r="AF258" s="85"/>
      <c r="AG258" s="85"/>
      <c r="AH258" s="85"/>
      <c r="AI258" s="85"/>
      <c r="AJ258" s="85"/>
      <c r="AK258" s="85"/>
      <c r="AL258" s="85"/>
      <c r="AM258" s="85"/>
      <c r="AN258" s="85"/>
      <c r="AO258" s="85"/>
      <c r="AP258" s="85"/>
    </row>
    <row r="259" ht="90.0" customHeight="1">
      <c r="A259" s="29"/>
      <c r="B259" s="38" t="s">
        <v>118</v>
      </c>
      <c r="C259" s="39" t="s">
        <v>814</v>
      </c>
      <c r="D259" s="40" t="s">
        <v>812</v>
      </c>
      <c r="E259" s="40" t="s">
        <v>174</v>
      </c>
      <c r="F259" s="40" t="s">
        <v>623</v>
      </c>
      <c r="G259" s="39" t="s">
        <v>192</v>
      </c>
      <c r="H259" s="41" t="s">
        <v>19</v>
      </c>
      <c r="I259" s="48" t="s">
        <v>815</v>
      </c>
      <c r="J259" s="42" t="str">
        <f>IFERROR(__xludf.DUMMYFUNCTION("GOOGLETRANSLATE(I259,""en"",""pl"")"),"Kamera kopułkowa wewnętrzna IR serii Q (bez dźwięku), 2 MP @30fps, obiektyw zmiennoogniskowy 3,2 ~ 10,0 mm (3,1x), H.265/H.264/MJPEG, strumieniowanie wielokrotne, WDR 120 dB, tryb dzień/noc (automatyczne ICR), zasięg widzenia IR 20 m, wykrywanie ruchu, ma"&amp;"nipulacja, wykrywanie braku ostrości, widok korytarza (90°/270°), gniazdo microSD/SDHC/SDXC, obsługa LDC (korekcja zniekształceń obiektywu), PoE/12 V DC")</f>
        <v>Kamera kopułkowa wewnętrzna IR serii Q (bez dźwięku), 2 MP @30fps, obiektyw zmiennoogniskowy 3,2 ~ 10,0 mm (3,1x), H.265/H.264/MJPEG, strumieniowanie wielokrotne, WDR 120 dB, tryb dzień/noc (automatyczne ICR), zasięg widzenia IR 20 m, wykrywanie ruchu, manipulacja, wykrywanie braku ostrości, widok korytarza (90°/270°), gniazdo microSD/SDHC/SDXC, obsługa LDC (korekcja zniekształceń obiektywu), PoE/12 V DC</v>
      </c>
      <c r="K259" s="43" t="s">
        <v>21</v>
      </c>
      <c r="L259" s="44">
        <v>417.0</v>
      </c>
      <c r="M259" s="8"/>
      <c r="N259" s="45" t="s">
        <v>22</v>
      </c>
      <c r="O259" s="97"/>
      <c r="P259" s="36"/>
      <c r="Q259" s="35"/>
      <c r="R259" s="68"/>
      <c r="S259" s="68"/>
      <c r="T259" s="68"/>
      <c r="U259" s="35"/>
      <c r="V259" s="35"/>
      <c r="W259" s="35"/>
      <c r="X259" s="35"/>
      <c r="Y259" s="35"/>
      <c r="Z259" s="35"/>
      <c r="AA259" s="35"/>
      <c r="AB259" s="35"/>
      <c r="AC259" s="60"/>
      <c r="AD259" s="85"/>
      <c r="AE259" s="85"/>
      <c r="AF259" s="85"/>
      <c r="AG259" s="85"/>
      <c r="AH259" s="85"/>
      <c r="AI259" s="85"/>
      <c r="AJ259" s="85"/>
      <c r="AK259" s="85"/>
      <c r="AL259" s="85"/>
      <c r="AM259" s="85"/>
      <c r="AN259" s="85"/>
      <c r="AO259" s="85"/>
      <c r="AP259" s="85"/>
    </row>
    <row r="260" ht="90.0" customHeight="1">
      <c r="A260" s="29"/>
      <c r="B260" s="38" t="s">
        <v>118</v>
      </c>
      <c r="C260" s="39" t="s">
        <v>816</v>
      </c>
      <c r="D260" s="40" t="s">
        <v>812</v>
      </c>
      <c r="E260" s="40" t="s">
        <v>174</v>
      </c>
      <c r="F260" s="40" t="s">
        <v>623</v>
      </c>
      <c r="G260" s="39" t="s">
        <v>192</v>
      </c>
      <c r="H260" s="41" t="s">
        <v>19</v>
      </c>
      <c r="I260" s="48" t="s">
        <v>817</v>
      </c>
      <c r="J260" s="42" t="str">
        <f>IFERROR(__xludf.DUMMYFUNCTION("GOOGLETRANSLATE(I260,""en"",""pl"")"),"Kamera kopułkowa sieciowa IR serii Q do użytku wewnętrznego, 2 MP @30 kl./s, obiektyw stałoogniskowy 4 mm (87,6°), potrójny kodek H.265/H.264/MJPEG z WiseStream, strumieniowanie wielokrotne, WDR 120 dB, True Day &amp; Night (ICR), widoczność podczerwieni 20 m"&amp;", wykrywanie ruchu, manipulacja, wykrywanie braku ostrości, widok korytarzowy, jednokierunkowy dźwięk i gniazdo microSD/SDHC/SDXC, obsługa LDC (korekcja zniekształceń obiektywu), PoE/12 V DC")</f>
        <v>Kamera kopułkowa sieciowa IR serii Q do użytku wewnętrznego, 2 MP @30 kl./s, obiektyw stałoogniskowy 4 mm (87,6°),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PoE/12 V DC</v>
      </c>
      <c r="K260" s="43" t="s">
        <v>21</v>
      </c>
      <c r="L260" s="44">
        <v>289.0</v>
      </c>
      <c r="M260" s="8"/>
      <c r="N260" s="45" t="s">
        <v>22</v>
      </c>
      <c r="O260" s="97"/>
      <c r="P260" s="36"/>
      <c r="Q260" s="35"/>
      <c r="R260" s="68"/>
      <c r="S260" s="68"/>
      <c r="T260" s="68"/>
      <c r="U260" s="35"/>
      <c r="V260" s="35"/>
      <c r="W260" s="35"/>
      <c r="X260" s="35"/>
      <c r="Y260" s="35"/>
      <c r="Z260" s="35"/>
      <c r="AA260" s="35"/>
      <c r="AB260" s="35"/>
      <c r="AC260" s="60"/>
      <c r="AD260" s="85"/>
      <c r="AE260" s="85"/>
      <c r="AF260" s="85"/>
      <c r="AG260" s="85"/>
      <c r="AH260" s="85"/>
      <c r="AI260" s="85"/>
      <c r="AJ260" s="85"/>
      <c r="AK260" s="85"/>
      <c r="AL260" s="85"/>
      <c r="AM260" s="85"/>
      <c r="AN260" s="85"/>
      <c r="AO260" s="85"/>
      <c r="AP260" s="85"/>
    </row>
    <row r="261" ht="90.0" customHeight="1">
      <c r="A261" s="29"/>
      <c r="B261" s="38" t="s">
        <v>118</v>
      </c>
      <c r="C261" s="39" t="s">
        <v>818</v>
      </c>
      <c r="D261" s="40" t="s">
        <v>812</v>
      </c>
      <c r="E261" s="40" t="s">
        <v>174</v>
      </c>
      <c r="F261" s="40" t="s">
        <v>623</v>
      </c>
      <c r="G261" s="39" t="s">
        <v>192</v>
      </c>
      <c r="H261" s="41" t="s">
        <v>19</v>
      </c>
      <c r="I261" s="48" t="s">
        <v>819</v>
      </c>
      <c r="J261" s="42" t="str">
        <f>IFERROR(__xludf.DUMMYFUNCTION("GOOGLETRANSLATE(I261,""en"",""pl"")"),"Kamera kopułkowa wewnętrzna z serii Q z na podczerwień (bez dźwięku), 2 MP @30 kl./s, obiektyw stałoogniskowy 4 mm, H.265/H.264/MJPEG, strumieniowanie wielokrotne, WDR 120 dB, tryb dzienny i nocny (automatyczne ICR), zasięg widzenia w podczerwieni 20 m, w"&amp;"ykrywanie ruchu, manipulacja, wykrywanie braku ostrości, widok korytarza (90°/270°), gniazdo microSD/SDHC/SDXC, obsługa LDC (korekcja zniekształceń obiektywu), PoE/12 V DC")</f>
        <v>Kamera kopułkowa wewnętrzna z serii Q z na podczerwień (bez dźwięku), 2 MP @30 kl./s, obiektyw stałoogniskowy 4 mm, H.265/H.264/MJPEG, strumieniowanie wielokrotne, WDR 120 dB, tryb dzienny i nocny (automatyczne ICR), zasięg widzenia w podczerwieni 20 m, wykrywanie ruchu, manipulacja, wykrywanie braku ostrości, widok korytarza (90°/270°), gniazdo microSD/SDHC/SDXC, obsługa LDC (korekcja zniekształceń obiektywu), PoE/12 V DC</v>
      </c>
      <c r="K261" s="43" t="s">
        <v>21</v>
      </c>
      <c r="L261" s="44">
        <v>263.0</v>
      </c>
      <c r="M261" s="8"/>
      <c r="N261" s="45" t="s">
        <v>22</v>
      </c>
      <c r="O261" s="97"/>
      <c r="P261" s="36"/>
      <c r="Q261" s="35"/>
      <c r="R261" s="68"/>
      <c r="S261" s="68"/>
      <c r="T261" s="68"/>
      <c r="U261" s="35"/>
      <c r="V261" s="35"/>
      <c r="W261" s="35"/>
      <c r="X261" s="35"/>
      <c r="Y261" s="35"/>
      <c r="Z261" s="35"/>
      <c r="AA261" s="35"/>
      <c r="AB261" s="35"/>
      <c r="AC261" s="60"/>
      <c r="AD261" s="85"/>
      <c r="AE261" s="85"/>
      <c r="AF261" s="85"/>
      <c r="AG261" s="85"/>
      <c r="AH261" s="85"/>
      <c r="AI261" s="85"/>
      <c r="AJ261" s="85"/>
      <c r="AK261" s="85"/>
      <c r="AL261" s="85"/>
      <c r="AM261" s="85"/>
      <c r="AN261" s="85"/>
      <c r="AO261" s="85"/>
      <c r="AP261" s="85"/>
    </row>
    <row r="262" ht="90.0" customHeight="1">
      <c r="A262" s="29"/>
      <c r="B262" s="38" t="s">
        <v>118</v>
      </c>
      <c r="C262" s="39" t="s">
        <v>820</v>
      </c>
      <c r="D262" s="40" t="s">
        <v>812</v>
      </c>
      <c r="E262" s="40" t="s">
        <v>174</v>
      </c>
      <c r="F262" s="40" t="s">
        <v>623</v>
      </c>
      <c r="G262" s="39" t="s">
        <v>192</v>
      </c>
      <c r="H262" s="41" t="s">
        <v>19</v>
      </c>
      <c r="I262" s="48" t="s">
        <v>821</v>
      </c>
      <c r="J262" s="42" t="str">
        <f>IFERROR(__xludf.DUMMYFUNCTION("GOOGLETRANSLATE(I262,""en"",""pl"")"),"Kamera kopułkowa sieciowa IR serii Q do użytku wewnętrznego, 2 MP @30 kl./s, obiektyw stałoogniskowy 2,8 mm (113,74°), potrójny kodek H.265/H.264/MJPEG z WiseStream, strumieniowanie wielokrotne, WDR 120 dB, True Day &amp; Night (ICR), widoczność podczerwieni "&amp;"20 m, wykrywanie ruchu, manipulacja, wykrywanie braku ostrości, widok korytarzowy, jednokierunkowy dźwięk i gniazdo microSD/SDHC/SDXC, obsługa LDC (korekcja zniekształceń obiektywu), PoE/12 V DC")</f>
        <v>Kamera kopułkowa sieciowa IR serii Q do użytku wewnętrznego, 2 MP @30 kl./s, obiektyw stałoogniskowy 2,8 mm (113,74°),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PoE/12 V DC</v>
      </c>
      <c r="K262" s="43" t="s">
        <v>21</v>
      </c>
      <c r="L262" s="44">
        <v>289.0</v>
      </c>
      <c r="M262" s="8"/>
      <c r="N262" s="45" t="s">
        <v>22</v>
      </c>
      <c r="O262" s="97"/>
      <c r="P262" s="36"/>
      <c r="Q262" s="9"/>
      <c r="R262" s="59"/>
      <c r="S262" s="59"/>
      <c r="T262" s="59"/>
      <c r="U262" s="9"/>
      <c r="V262" s="9"/>
      <c r="W262" s="9"/>
      <c r="X262" s="9"/>
      <c r="Y262" s="9"/>
      <c r="Z262" s="9"/>
      <c r="AA262" s="9"/>
      <c r="AB262" s="9"/>
      <c r="AC262" s="60"/>
      <c r="AD262" s="85"/>
      <c r="AE262" s="85"/>
      <c r="AF262" s="85"/>
      <c r="AG262" s="85"/>
      <c r="AH262" s="85"/>
      <c r="AI262" s="61"/>
      <c r="AJ262" s="61"/>
      <c r="AK262" s="61"/>
      <c r="AL262" s="85"/>
      <c r="AM262" s="85"/>
      <c r="AN262" s="85"/>
      <c r="AO262" s="85"/>
      <c r="AP262" s="85"/>
    </row>
    <row r="263" ht="90.0" customHeight="1">
      <c r="A263" s="29"/>
      <c r="B263" s="38" t="s">
        <v>118</v>
      </c>
      <c r="C263" s="39" t="s">
        <v>822</v>
      </c>
      <c r="D263" s="40" t="s">
        <v>812</v>
      </c>
      <c r="E263" s="40" t="s">
        <v>174</v>
      </c>
      <c r="F263" s="40" t="s">
        <v>623</v>
      </c>
      <c r="G263" s="39" t="s">
        <v>192</v>
      </c>
      <c r="H263" s="41" t="s">
        <v>19</v>
      </c>
      <c r="I263" s="48" t="s">
        <v>823</v>
      </c>
      <c r="J263" s="42" t="str">
        <f>IFERROR(__xludf.DUMMYFUNCTION("GOOGLETRANSLATE(I263,""en"",""pl"")"),"Kamera kopułkowa wewnętrzna IR z serii Q (bez dźwięku), 2 MP @30 kl./s, obiektyw stałoogniskowy 2,8 mm, H.265/H.264/MJPEG z WiseStream, strumieniowanie wielokrotne, WDR 120 dB, tryb dzienny i nocny (automatyczne ICR), zasięg widzenia IR 20 m, wykrywanie r"&amp;"uchu, manipulacja, wykrywanie braku ostrości, widok korytarza (90°/270°), gniazdo microSD/SDHC/SDXC, obsługa LDC (korekcja zniekształceń obiektywu), PoE/12 V DC")</f>
        <v>Kamera kopułkowa wewnętrzna IR z serii Q (bez dźwięku), 2 MP @30 kl./s, obiektyw stałoogniskowy 2,8 mm, H.265/H.264/MJPEG z WiseStream, strumieniowanie wielokrotne, WDR 120 dB, tryb dzienny i nocny (automatyczne ICR), zasięg widzenia IR 20 m, wykrywanie ruchu, manipulacja, wykrywanie braku ostrości, widok korytarza (90°/270°), gniazdo microSD/SDHC/SDXC, obsługa LDC (korekcja zniekształceń obiektywu), PoE/12 V DC</v>
      </c>
      <c r="K263" s="43" t="s">
        <v>21</v>
      </c>
      <c r="L263" s="44">
        <v>263.0</v>
      </c>
      <c r="M263" s="8"/>
      <c r="N263" s="45" t="s">
        <v>22</v>
      </c>
      <c r="O263" s="97"/>
      <c r="P263" s="36"/>
      <c r="Q263" s="9"/>
      <c r="R263" s="59"/>
      <c r="S263" s="59"/>
      <c r="T263" s="59"/>
      <c r="U263" s="9"/>
      <c r="V263" s="9"/>
      <c r="W263" s="9"/>
      <c r="X263" s="9"/>
      <c r="Y263" s="9"/>
      <c r="Z263" s="9"/>
      <c r="AA263" s="9"/>
      <c r="AB263" s="9"/>
      <c r="AC263" s="60"/>
      <c r="AD263" s="85"/>
      <c r="AE263" s="85"/>
      <c r="AF263" s="85"/>
      <c r="AG263" s="85"/>
      <c r="AH263" s="85"/>
      <c r="AI263" s="61"/>
      <c r="AJ263" s="61"/>
      <c r="AK263" s="61"/>
      <c r="AL263" s="85"/>
      <c r="AM263" s="85"/>
      <c r="AN263" s="85"/>
      <c r="AO263" s="85"/>
      <c r="AP263" s="85"/>
    </row>
    <row r="264" ht="90.0" customHeight="1">
      <c r="A264" s="29"/>
      <c r="B264" s="38" t="s">
        <v>118</v>
      </c>
      <c r="C264" s="39" t="s">
        <v>824</v>
      </c>
      <c r="D264" s="40" t="s">
        <v>825</v>
      </c>
      <c r="E264" s="40" t="s">
        <v>174</v>
      </c>
      <c r="F264" s="40" t="s">
        <v>623</v>
      </c>
      <c r="G264" s="39" t="s">
        <v>192</v>
      </c>
      <c r="H264" s="41" t="s">
        <v>19</v>
      </c>
      <c r="I264" s="48" t="s">
        <v>826</v>
      </c>
      <c r="J264" s="42" t="str">
        <f>IFERROR(__xludf.DUMMYFUNCTION("GOOGLETRANSLATE(I264,""en"",""pl"")"),"Kamera kopułkowa wewnętrzna sieciowa serii Q, 2 MP @30 kl./s, obiektyw stałoogniskowy 4,0 mm (87,6°), potrójny kodek H.265/H.264/MJPEG z WiseStream II, strumieniowanie wielokrotne, WDR 120 dB, automatyczny tryb dzień/noc (ICR), analityka biznesowa (liczen"&amp;"ie osób), wykrywanie ruchu, manipulacja, wykrywanie braku ostrości, widok korytarza, gniazdo microSD/SDHC/SDXC, obsługa LDC (korekcja zniekształceń obiektywu), IP42, IK08, PoE, kompaktowy rozmiar 99 x 56 mm/145 g")</f>
        <v>Kamera kopułkowa wewnętrzna sieciowa serii Q, 2 MP @30 kl./s, obiektyw stałoogniskowy 4,0 mm (87,6°), potrójny kodek H.265/H.264/MJPEG z WiseStream II, strumieniowanie wielokrotne, WDR 120 dB, automatyczny tryb dzień/noc (ICR), analityka biznesowa (liczenie osób), wykrywanie ruchu, manipulacja, wykrywanie braku ostrości, widok korytarza, gniazdo microSD/SDHC/SDXC, obsługa LDC (korekcja zniekształceń obiektywu), IP42, IK08, PoE, kompaktowy rozmiar 99 x 56 mm/145 g</v>
      </c>
      <c r="K264" s="43" t="s">
        <v>21</v>
      </c>
      <c r="L264" s="44">
        <v>258.0</v>
      </c>
      <c r="M264" s="8"/>
      <c r="N264" s="45" t="s">
        <v>22</v>
      </c>
      <c r="O264" s="97"/>
      <c r="P264" s="36"/>
      <c r="Q264" s="35"/>
      <c r="R264" s="68"/>
      <c r="S264" s="68"/>
      <c r="T264" s="68"/>
      <c r="U264" s="35"/>
      <c r="V264" s="35"/>
      <c r="W264" s="35"/>
      <c r="X264" s="35"/>
      <c r="Y264" s="35"/>
      <c r="Z264" s="35"/>
      <c r="AA264" s="35"/>
      <c r="AB264" s="35"/>
      <c r="AC264" s="60"/>
      <c r="AD264" s="85"/>
      <c r="AE264" s="85"/>
      <c r="AF264" s="85"/>
      <c r="AG264" s="85"/>
      <c r="AH264" s="85"/>
      <c r="AI264" s="85"/>
      <c r="AJ264" s="85"/>
      <c r="AK264" s="85"/>
      <c r="AL264" s="85"/>
      <c r="AM264" s="85"/>
      <c r="AN264" s="85"/>
      <c r="AO264" s="85"/>
      <c r="AP264" s="85"/>
    </row>
    <row r="265" ht="90.0" customHeight="1">
      <c r="A265" s="29"/>
      <c r="B265" s="38" t="s">
        <v>118</v>
      </c>
      <c r="C265" s="39" t="s">
        <v>827</v>
      </c>
      <c r="D265" s="40" t="s">
        <v>825</v>
      </c>
      <c r="E265" s="40" t="s">
        <v>174</v>
      </c>
      <c r="F265" s="40" t="s">
        <v>623</v>
      </c>
      <c r="G265" s="39" t="s">
        <v>192</v>
      </c>
      <c r="H265" s="41" t="s">
        <v>19</v>
      </c>
      <c r="I265" s="48" t="s">
        <v>828</v>
      </c>
      <c r="J265" s="42" t="str">
        <f>IFERROR(__xludf.DUMMYFUNCTION("GOOGLETRANSLATE(I265,""en"",""pl"")"),"Kamera kopułkowa wewnętrzna sieciowa serii Q, 2 MP @30 kl./s, obiektyw stałoogniskowy 2,8 mm (113,74°), potrójny kodek H.265/H.264/MJPEG z WiseStream II, strumieniowanie wielokrotne, WDR 120 dB, automatyczny tryb dzień/noc (ICR), analityka biznesowa (licz"&amp;"enie osób), wykrywanie ruchu, manipulacja, wykrywanie braku ostrości, widok korytarzowy, gniazdo microSD/SDHC/SDXC, obsługa LDC (korekcja zniekształceń obiektywu), IP42, IK08, PoE, kompaktowy rozmiar 99 x 56 mm/145 g")</f>
        <v>Kamera kopułkowa wewnętrzna sieciowa serii Q, 2 MP @30 kl./s, obiektyw stałoogniskowy 2,8 mm (113,74°), potrójny kodek H.265/H.264/MJPEG z WiseStream II, strumieniowanie wielokrotne, WDR 120 dB, automatyczny tryb dzień/noc (ICR), analityka biznesowa (liczenie osób), wykrywanie ruchu, manipulacja, wykrywanie braku ostrości, widok korytarzowy, gniazdo microSD/SDHC/SDXC, obsługa LDC (korekcja zniekształceń obiektywu), IP42, IK08, PoE, kompaktowy rozmiar 99 x 56 mm/145 g</v>
      </c>
      <c r="K265" s="43" t="s">
        <v>21</v>
      </c>
      <c r="L265" s="44">
        <v>258.0</v>
      </c>
      <c r="M265" s="8"/>
      <c r="N265" s="45" t="s">
        <v>22</v>
      </c>
      <c r="O265" s="97"/>
      <c r="P265" s="36"/>
      <c r="Q265" s="35"/>
      <c r="R265" s="68"/>
      <c r="S265" s="68"/>
      <c r="T265" s="68"/>
      <c r="U265" s="35"/>
      <c r="V265" s="35"/>
      <c r="W265" s="35"/>
      <c r="X265" s="35"/>
      <c r="Y265" s="35"/>
      <c r="Z265" s="35"/>
      <c r="AA265" s="35"/>
      <c r="AB265" s="35"/>
      <c r="AC265" s="60"/>
      <c r="AD265" s="85"/>
      <c r="AE265" s="85"/>
      <c r="AF265" s="85"/>
      <c r="AG265" s="85"/>
      <c r="AH265" s="85"/>
      <c r="AI265" s="85"/>
      <c r="AJ265" s="85"/>
      <c r="AK265" s="85"/>
      <c r="AL265" s="85"/>
      <c r="AM265" s="85"/>
      <c r="AN265" s="85"/>
      <c r="AO265" s="85"/>
      <c r="AP265" s="85"/>
    </row>
    <row r="266" ht="90.0" customHeight="1">
      <c r="A266" s="29"/>
      <c r="B266" s="38" t="s">
        <v>118</v>
      </c>
      <c r="C266" s="117" t="s">
        <v>829</v>
      </c>
      <c r="D266" s="118" t="s">
        <v>830</v>
      </c>
      <c r="E266" s="118" t="s">
        <v>174</v>
      </c>
      <c r="F266" s="118" t="s">
        <v>623</v>
      </c>
      <c r="G266" s="117" t="s">
        <v>184</v>
      </c>
      <c r="H266" s="126" t="s">
        <v>19</v>
      </c>
      <c r="I266" s="121" t="s">
        <v>831</v>
      </c>
      <c r="J266" s="42" t="str">
        <f>IFERROR(__xludf.DUMMYFUNCTION("GOOGLETRANSLATE(I266,""en"",""pl"")"),"Kamera kopułkowa zewnętrzna z serii Q z podczerwienią i zabezpieczeniami przed wandalizmem, 2 MP @30 kl./s, obiektyw zmiennoogniskowy z napędem silnikowym 3,2–10,0 mm (3,1x) (109,0°–33,2°), potrójny kodek H.265/H.264/MJPEG z technologią WiseStream II, str"&amp;"umieniowanie wielokrotne, WDR 120 dB, tryb True Day &amp; Night (ICR), widoczność podczerwieni 30 m, wykrywanie ruchu, wykrywanie manipulacji, wykrywanie braku ostrości, widok korytarzowy, dwukierunkowe przesyłanie dźwięku i gniazdo microSD/SDHC/SDXC, obsługa"&amp;" LDC (korekcja zniekształceń obiektywu), IP66, IK10, PoE/12 V DC")</f>
        <v>Kamera kopułkowa zewnętrzna z serii Q z podczerwienią i zabezpieczeniami przed wandalizmem, 2 MP @30 kl./s, obiektyw zmiennoogniskowy z napędem silnikowym 3,2–10,0 mm (3,1x) (109,0°–33,2°), potrójny kodek H.265/H.264/MJPEG z technologią WiseStream II, strumieniowanie wielokrotne, WDR 120 dB, tryb True Day &amp; Night (ICR), widoczność podczerwieni 30 m, wykrywanie ruchu, wykrywanie manipulacji, wykrywanie braku ostrości, widok korytarzowy, dwukierunkowe przesyłanie dźwięku i gniazdo microSD/SDHC/SDXC, obsługa LDC (korekcja zniekształceń obiektywu), IP66, IK10, PoE/12 V DC</v>
      </c>
      <c r="K266" s="43" t="s">
        <v>21</v>
      </c>
      <c r="L266" s="44">
        <v>519.0</v>
      </c>
      <c r="M266" s="8"/>
      <c r="N266" s="45" t="s">
        <v>22</v>
      </c>
      <c r="O266" s="97"/>
      <c r="P266" s="36"/>
      <c r="Q266" s="35"/>
      <c r="R266" s="68"/>
      <c r="S266" s="68"/>
      <c r="T266" s="68"/>
      <c r="U266" s="35"/>
      <c r="V266" s="35"/>
      <c r="W266" s="35"/>
      <c r="X266" s="35"/>
      <c r="Y266" s="35"/>
      <c r="Z266" s="35"/>
      <c r="AA266" s="35"/>
      <c r="AB266" s="35"/>
      <c r="AC266" s="60"/>
      <c r="AD266" s="61"/>
      <c r="AE266" s="61"/>
      <c r="AF266" s="61"/>
      <c r="AG266" s="61"/>
      <c r="AH266" s="61"/>
      <c r="AI266" s="85"/>
      <c r="AJ266" s="85"/>
      <c r="AK266" s="85"/>
      <c r="AL266" s="85"/>
      <c r="AM266" s="85"/>
      <c r="AN266" s="85"/>
      <c r="AO266" s="85"/>
      <c r="AP266" s="85"/>
    </row>
    <row r="267" ht="90.0" customHeight="1">
      <c r="A267" s="29"/>
      <c r="B267" s="38" t="s">
        <v>118</v>
      </c>
      <c r="C267" s="117" t="s">
        <v>832</v>
      </c>
      <c r="D267" s="118" t="s">
        <v>830</v>
      </c>
      <c r="E267" s="118" t="s">
        <v>174</v>
      </c>
      <c r="F267" s="118" t="s">
        <v>623</v>
      </c>
      <c r="G267" s="117" t="s">
        <v>184</v>
      </c>
      <c r="H267" s="126" t="s">
        <v>19</v>
      </c>
      <c r="I267" s="121" t="s">
        <v>833</v>
      </c>
      <c r="J267" s="42" t="str">
        <f>IFERROR(__xludf.DUMMYFUNCTION("GOOGLETRANSLATE(I267,""en"",""pl"")"),"Kamera kopułkowa zewnętrzna z serii Q z podczerwienią i funkcją wandaloodporną (bez dźwięku), 2 MP @30 kl./s, obiektyw zmiennoogniskowy z napędem silnikowym 3,2–10,0 mm (3,1x), H.265/H.264/MJPEG, strumieniowanie wielokrotne, WDR 120 dB, tryb dzień/noc (au"&amp;"tomatyczne ICR), zasięg widzenia w podczerwieni 30 m, wykrywanie ruchu, manipulacja, wykrywanie braku ostrości, widok korytarza (90°/270°), gniazdo micro SD/SDHC/SDXC, obsługa LDC (korekcja zniekształceń obiektywu), IP66, IK10, PoE/12 V DC")</f>
        <v>Kamera kopułkowa zewnętrzna z serii Q z podczerwienią i funkcją wandaloodporną (bez dźwięku), 2 MP @30 kl./s, obiektyw zmiennoogniskowy z napędem silnikowym 3,2–10,0 mm (3,1x), H.265/H.264/MJPEG, strumieniowanie wielokrotne, WDR 120 dB, tryb dzień/noc (automatyczne ICR), zasięg widzenia w podczerwieni 30 m, wykrywanie ruchu, manipulacja, wykrywanie braku ostrości, widok korytarza (90°/270°), gniazdo micro SD/SDHC/SDXC, obsługa LDC (korekcja zniekształceń obiektywu), IP66, IK10, PoE/12 V DC</v>
      </c>
      <c r="K267" s="43" t="s">
        <v>21</v>
      </c>
      <c r="L267" s="44">
        <v>472.0</v>
      </c>
      <c r="M267" s="8"/>
      <c r="N267" s="45" t="s">
        <v>22</v>
      </c>
      <c r="O267" s="97"/>
      <c r="P267" s="36"/>
      <c r="Q267" s="9"/>
      <c r="R267" s="59"/>
      <c r="S267" s="59"/>
      <c r="T267" s="59"/>
      <c r="U267" s="9"/>
      <c r="V267" s="9"/>
      <c r="W267" s="9"/>
      <c r="X267" s="9"/>
      <c r="Y267" s="9"/>
      <c r="Z267" s="9"/>
      <c r="AA267" s="9"/>
      <c r="AB267" s="9"/>
      <c r="AC267" s="60"/>
      <c r="AD267" s="85"/>
      <c r="AE267" s="85"/>
      <c r="AF267" s="85"/>
      <c r="AG267" s="85"/>
      <c r="AH267" s="85"/>
      <c r="AI267" s="61"/>
      <c r="AJ267" s="61"/>
      <c r="AK267" s="61"/>
      <c r="AL267" s="85"/>
      <c r="AM267" s="85"/>
      <c r="AN267" s="85"/>
      <c r="AO267" s="85"/>
      <c r="AP267" s="85"/>
    </row>
    <row r="268" ht="90.0" customHeight="1">
      <c r="A268" s="29"/>
      <c r="B268" s="38" t="s">
        <v>118</v>
      </c>
      <c r="C268" s="39" t="s">
        <v>834</v>
      </c>
      <c r="D268" s="40" t="s">
        <v>835</v>
      </c>
      <c r="E268" s="40" t="s">
        <v>174</v>
      </c>
      <c r="F268" s="40" t="s">
        <v>623</v>
      </c>
      <c r="G268" s="39" t="s">
        <v>184</v>
      </c>
      <c r="H268" s="41" t="s">
        <v>19</v>
      </c>
      <c r="I268" s="48" t="s">
        <v>836</v>
      </c>
      <c r="J268" s="42" t="str">
        <f>IFERROR(__xludf.DUMMYFUNCTION("GOOGLETRANSLATE(I268,""en"",""pl"")"),"Kamera kopułkowa zewnętrzna z serii Q z ochroną przed wandalizmem, IR, 2 MP @60 kl./s, obiektyw stałoogniskowy 3,6 mm (94,8°), potrójny kodek H.265/H.264/MJPEG z technologią WiseStream II, strumieniowanie wielokrotne, WDR 120 dB, True Day &amp; Night (ICR), w"&amp;"idoczność podczerwieni 15 m, wykrywanie ruchu, manipulacja, wykrywanie braku ostrości, widok korytarzowy, jednokierunkowy dźwięk i gniazdo microSD/SDHC/SDXC, obsługa LDC (korekcja zniekształceń obiektywu), IP66, IK10, NEMA4X, PoE")</f>
        <v>Kamera kopułkowa zewnętrzna z serii Q z ochroną przed wandalizmem, IR, 2 MP @60 kl./s, obiektyw stałoogniskowy 3,6 mm (94,8°), potrójny kodek H.265/H.264/MJPEG z technologią WiseStream II, strumieniowanie wielokrotne, WDR 120 dB, True Day &amp; Night (ICR), widoczność podczerwieni 15 m, wykrywanie ruchu, manipulacja, wykrywanie braku ostrości, widok korytarzowy, jednokierunkowy dźwięk i gniazdo microSD/SDHC/SDXC, obsługa LDC (korekcja zniekształceń obiektywu), IP66, IK10, NEMA4X, PoE</v>
      </c>
      <c r="K268" s="43" t="s">
        <v>21</v>
      </c>
      <c r="L268" s="44">
        <v>339.0</v>
      </c>
      <c r="M268" s="8"/>
      <c r="N268" s="45" t="s">
        <v>22</v>
      </c>
      <c r="O268" s="97"/>
      <c r="P268" s="36"/>
      <c r="Q268" s="35"/>
      <c r="R268" s="68"/>
      <c r="S268" s="68"/>
      <c r="T268" s="68"/>
      <c r="U268" s="35"/>
      <c r="V268" s="35"/>
      <c r="W268" s="35"/>
      <c r="X268" s="35"/>
      <c r="Y268" s="35"/>
      <c r="Z268" s="35"/>
      <c r="AA268" s="35"/>
      <c r="AB268" s="35"/>
      <c r="AC268" s="60"/>
      <c r="AD268" s="85"/>
      <c r="AE268" s="85"/>
      <c r="AF268" s="85"/>
      <c r="AG268" s="85"/>
      <c r="AH268" s="85"/>
      <c r="AI268" s="85"/>
      <c r="AJ268" s="85"/>
      <c r="AK268" s="85"/>
      <c r="AL268" s="85"/>
      <c r="AM268" s="85"/>
      <c r="AN268" s="85"/>
      <c r="AO268" s="85"/>
      <c r="AP268" s="85"/>
    </row>
    <row r="269" ht="90.0" customHeight="1">
      <c r="A269" s="29"/>
      <c r="B269" s="38" t="s">
        <v>118</v>
      </c>
      <c r="C269" s="39" t="s">
        <v>837</v>
      </c>
      <c r="D269" s="118" t="s">
        <v>830</v>
      </c>
      <c r="E269" s="40" t="s">
        <v>174</v>
      </c>
      <c r="F269" s="40" t="s">
        <v>623</v>
      </c>
      <c r="G269" s="39" t="s">
        <v>184</v>
      </c>
      <c r="H269" s="41" t="s">
        <v>19</v>
      </c>
      <c r="I269" s="48" t="s">
        <v>838</v>
      </c>
      <c r="J269" s="42" t="str">
        <f>IFERROR(__xludf.DUMMYFUNCTION("GOOGLETRANSLATE(I269,""en"",""pl"")"),"Kamera kopułkowa zewnętrzna sieciowa serii Q, 2 MP @30 kl./s, obiektyw stały 4 mm (87,6°), potrójny kodek H.265/H.264/MJPEG z WiseStream, strumieniowanie wielokrotne, WDR 120 dB, True Day &amp; Night (ICR), widoczność podczerwieni 25 m, wykrywanie ruchu, mani"&amp;"pulacja, wykrywanie braku ostrości, widok korytarzowy, jednokierunkowy dźwięk i gniazdo microSD/SDHC/SDXC, obsługa LDC (korekcja zniekształceń obiektywu), IP66, IK10, PoE/12 V DC")</f>
        <v>Kamera kopułkowa zewnętrzna sieciowa serii Q, 2 MP @30 kl./s, obiektyw stały 4 mm (87,6°), potrójny kodek H.265/H.264/MJPEG z WiseStream, strumieniowanie wielokrotne, WDR 120 dB, True Day &amp; Night (ICR), widoczność podczerwieni 25 m, wykrywanie ruchu, manipulacja, wykrywanie braku ostrości, widok korytarzowy, jednokierunkowy dźwięk i gniazdo microSD/SDHC/SDXC, obsługa LDC (korekcja zniekształceń obiektywu), IP66, IK10, PoE/12 V DC</v>
      </c>
      <c r="K269" s="43" t="s">
        <v>21</v>
      </c>
      <c r="L269" s="44">
        <v>343.0</v>
      </c>
      <c r="M269" s="8"/>
      <c r="N269" s="45" t="s">
        <v>22</v>
      </c>
      <c r="O269" s="97"/>
      <c r="P269" s="36"/>
      <c r="Q269" s="35"/>
      <c r="R269" s="68"/>
      <c r="S269" s="68"/>
      <c r="T269" s="68"/>
      <c r="U269" s="35"/>
      <c r="V269" s="35"/>
      <c r="W269" s="35"/>
      <c r="X269" s="35"/>
      <c r="Y269" s="35"/>
      <c r="Z269" s="35"/>
      <c r="AA269" s="35"/>
      <c r="AB269" s="35"/>
      <c r="AC269" s="60"/>
      <c r="AD269" s="85"/>
      <c r="AE269" s="85"/>
      <c r="AF269" s="85"/>
      <c r="AG269" s="85"/>
      <c r="AH269" s="85"/>
      <c r="AI269" s="85"/>
      <c r="AJ269" s="85"/>
      <c r="AK269" s="85"/>
      <c r="AL269" s="85"/>
      <c r="AM269" s="85"/>
      <c r="AN269" s="85"/>
      <c r="AO269" s="85"/>
      <c r="AP269" s="85"/>
    </row>
    <row r="270" ht="90.0" customHeight="1">
      <c r="A270" s="29"/>
      <c r="B270" s="38" t="s">
        <v>118</v>
      </c>
      <c r="C270" s="39" t="s">
        <v>839</v>
      </c>
      <c r="D270" s="118" t="s">
        <v>830</v>
      </c>
      <c r="E270" s="40" t="s">
        <v>174</v>
      </c>
      <c r="F270" s="40" t="s">
        <v>623</v>
      </c>
      <c r="G270" s="39" t="s">
        <v>184</v>
      </c>
      <c r="H270" s="41" t="s">
        <v>19</v>
      </c>
      <c r="I270" s="48" t="s">
        <v>840</v>
      </c>
      <c r="J270" s="42" t="str">
        <f>IFERROR(__xludf.DUMMYFUNCTION("GOOGLETRANSLATE(I270,""en"",""pl"")"),"Zewnętrzna kamera kopułkowa sieciowa serii Q z zabezpieczeniem przed wandalizmem (bez dźwięku), 2 MP @30 kl./s, obiektyw stałoogniskowy 4 mm, H.265/H.264/MJPEG, strumieniowanie wielokrotne, WDR 120 dB, tryb dzienny i nocny (automatyczne ICR), zasięg widze"&amp;"nia w podczerwieni 25 m, wykrywanie ruchu, manipulacja, wykrywanie braku ostrości, widok korytarza (90°/270°), gniazdo micro SD/SDHC/SDXC, obsługa LDC (korekcja zniekształceń obiektywu), IP66, IK10, PoE/12 V DC")</f>
        <v>Zewnętrzna kamera kopułkowa sieciowa serii Q z zabezpieczeniem przed wandalizmem (bez dźwięku), 2 MP @30 kl./s, obiektyw stałoogniskowy 4 mm, H.265/H.264/MJPEG, strumieniowanie wielokrotne, WDR 120 dB, tryb dzienny i nocny (automatyczne ICR), zasięg widzenia w podczerwieni 25 m, wykrywanie ruchu, manipulacja, wykrywanie braku ostrości, widok korytarza (90°/270°), gniazdo micro SD/SDHC/SDXC, obsługa LDC (korekcja zniekształceń obiektywu), IP66, IK10, PoE/12 V DC</v>
      </c>
      <c r="K270" s="43" t="s">
        <v>21</v>
      </c>
      <c r="L270" s="44">
        <v>312.0</v>
      </c>
      <c r="M270" s="8"/>
      <c r="N270" s="45" t="s">
        <v>22</v>
      </c>
      <c r="O270" s="97"/>
      <c r="P270" s="36"/>
      <c r="Q270" s="35"/>
      <c r="R270" s="68"/>
      <c r="S270" s="68"/>
      <c r="T270" s="68"/>
      <c r="U270" s="35"/>
      <c r="V270" s="35"/>
      <c r="W270" s="35"/>
      <c r="X270" s="35"/>
      <c r="Y270" s="35"/>
      <c r="Z270" s="35"/>
      <c r="AA270" s="35"/>
      <c r="AB270" s="35"/>
      <c r="AC270" s="60"/>
      <c r="AD270" s="85"/>
      <c r="AE270" s="85"/>
      <c r="AF270" s="85"/>
      <c r="AG270" s="85"/>
      <c r="AH270" s="85"/>
      <c r="AI270" s="85"/>
      <c r="AJ270" s="85"/>
      <c r="AK270" s="85"/>
      <c r="AL270" s="85"/>
      <c r="AM270" s="85"/>
      <c r="AN270" s="85"/>
      <c r="AO270" s="85"/>
      <c r="AP270" s="85"/>
    </row>
    <row r="271" ht="90.0" customHeight="1">
      <c r="A271" s="29"/>
      <c r="B271" s="38" t="s">
        <v>118</v>
      </c>
      <c r="C271" s="39" t="s">
        <v>841</v>
      </c>
      <c r="D271" s="118" t="s">
        <v>830</v>
      </c>
      <c r="E271" s="40" t="s">
        <v>174</v>
      </c>
      <c r="F271" s="40" t="s">
        <v>623</v>
      </c>
      <c r="G271" s="39" t="s">
        <v>184</v>
      </c>
      <c r="H271" s="41" t="s">
        <v>19</v>
      </c>
      <c r="I271" s="48" t="s">
        <v>842</v>
      </c>
      <c r="J271" s="42" t="str">
        <f>IFERROR(__xludf.DUMMYFUNCTION("GOOGLETRANSLATE(I271,""en"",""pl"")"),"Kamera kopułkowa zewnętrzna z serii Q z IR, chroniąca przed wandalizmem, 2 MP @30 kl./s, obiektyw stałoogniskowy 2,8 mm (113,74°), potrójny kodek H.265/H.264/MJPEG z WiseStream, strumieniowanie wielokrotne, WDR 120 dB, True Day &amp; Night (ICR), widoczność p"&amp;"odczerwieni 20 m, wykrywanie ruchu, manipulacja, wykrywanie braku ostrości, widok korytarzowy, jednokierunkowy dźwięk i gniazdo microSD/SDHC/SDXC, obsługa LDC (korekcja zniekształceń obiektywu), IP66, IK10, PoE/12 V DC")</f>
        <v>Kamera kopułkowa zewnętrzna z serii Q z IR, chroniąca przed wandalizmem, 2 MP @30 kl./s, obiektyw stałoogniskowy 2,8 mm (113,74°), potrójny kodek H.265/H.264/MJPEG z WiseStream, strumieniowanie wielokrotne, WDR 120 dB, True Day &amp; Night (ICR), widoczność podczerwieni 20 m, wykrywanie ruchu, manipulacja, wykrywanie braku ostrości, widok korytarzowy, jednokierunkowy dźwięk i gniazdo microSD/SDHC/SDXC, obsługa LDC (korekcja zniekształceń obiektywu), IP66, IK10, PoE/12 V DC</v>
      </c>
      <c r="K271" s="43" t="s">
        <v>21</v>
      </c>
      <c r="L271" s="44">
        <v>343.0</v>
      </c>
      <c r="M271" s="8"/>
      <c r="N271" s="45" t="s">
        <v>22</v>
      </c>
      <c r="O271" s="97"/>
      <c r="P271" s="36"/>
      <c r="Q271" s="35"/>
      <c r="R271" s="68"/>
      <c r="S271" s="68"/>
      <c r="T271" s="68"/>
      <c r="U271" s="35"/>
      <c r="V271" s="35"/>
      <c r="W271" s="35"/>
      <c r="X271" s="35"/>
      <c r="Y271" s="35"/>
      <c r="Z271" s="35"/>
      <c r="AA271" s="35"/>
      <c r="AB271" s="35"/>
      <c r="AC271" s="60"/>
      <c r="AD271" s="85"/>
      <c r="AE271" s="85"/>
      <c r="AF271" s="85"/>
      <c r="AG271" s="85"/>
      <c r="AH271" s="85"/>
      <c r="AI271" s="85"/>
      <c r="AJ271" s="85"/>
      <c r="AK271" s="85"/>
      <c r="AL271" s="85"/>
      <c r="AM271" s="85"/>
      <c r="AN271" s="85"/>
      <c r="AO271" s="85"/>
      <c r="AP271" s="85"/>
    </row>
    <row r="272" ht="90.0" customHeight="1">
      <c r="A272" s="29"/>
      <c r="B272" s="38" t="s">
        <v>118</v>
      </c>
      <c r="C272" s="39" t="s">
        <v>843</v>
      </c>
      <c r="D272" s="118" t="s">
        <v>830</v>
      </c>
      <c r="E272" s="40" t="s">
        <v>174</v>
      </c>
      <c r="F272" s="40" t="s">
        <v>623</v>
      </c>
      <c r="G272" s="39" t="s">
        <v>184</v>
      </c>
      <c r="H272" s="41" t="s">
        <v>19</v>
      </c>
      <c r="I272" s="48" t="s">
        <v>844</v>
      </c>
      <c r="J272" s="42" t="str">
        <f>IFERROR(__xludf.DUMMYFUNCTION("GOOGLETRANSLATE(I272,""en"",""pl"")"),"Kamera kopułkowa zewnętrzna z serii Q z ochroną przed wandalizmem IR (bez dźwięku), 2 MP @30 kl./s, obiektyw stałoogniskowy 2,8 mm, H.265/H.264/MJPEG, strumieniowanie wielokrotne, WDR 120 dB, tryb dzień/noc (automatyczne ICR), zasięg widzenia w podczerwie"&amp;"ni 20 m, wykrywanie ruchu, manipulacja, wykrywanie braku ostrości, widok korytarza (90°/270°), gniazdo micro SD/SDHC/SDXC, obsługa LDC (korekcja zniekształceń obiektywu), IP66, IK10, PoE/12 V DC")</f>
        <v>Kamera kopułkowa zewnętrzna z serii Q z ochroną przed wandalizmem IR (bez dźwięku), 2 MP @30 kl./s, obiektyw stałoogniskowy 2,8 mm, H.265/H.264/MJPEG, strumieniowanie wielokrotne, WDR 120 dB, tryb dzień/noc (automatyczne ICR), zasięg widzenia w podczerwieni 20 m, wykrywanie ruchu, manipulacja, wykrywanie braku ostrości, widok korytarza (90°/270°), gniazdo micro SD/SDHC/SDXC, obsługa LDC (korekcja zniekształceń obiektywu), IP66, IK10, PoE/12 V DC</v>
      </c>
      <c r="K272" s="43" t="s">
        <v>21</v>
      </c>
      <c r="L272" s="44">
        <v>312.0</v>
      </c>
      <c r="M272" s="8"/>
      <c r="N272" s="45" t="s">
        <v>22</v>
      </c>
      <c r="O272" s="97"/>
      <c r="P272" s="36"/>
      <c r="Q272" s="35"/>
      <c r="R272" s="68"/>
      <c r="S272" s="68"/>
      <c r="T272" s="68"/>
      <c r="U272" s="35"/>
      <c r="V272" s="35"/>
      <c r="W272" s="35"/>
      <c r="X272" s="35"/>
      <c r="Y272" s="35"/>
      <c r="Z272" s="35"/>
      <c r="AA272" s="35"/>
      <c r="AB272" s="35"/>
      <c r="AC272" s="60"/>
      <c r="AD272" s="85"/>
      <c r="AE272" s="85"/>
      <c r="AF272" s="85"/>
      <c r="AG272" s="85"/>
      <c r="AH272" s="85"/>
      <c r="AI272" s="85"/>
      <c r="AJ272" s="85"/>
      <c r="AK272" s="85"/>
      <c r="AL272" s="85"/>
      <c r="AM272" s="85"/>
      <c r="AN272" s="85"/>
      <c r="AO272" s="85"/>
      <c r="AP272" s="85"/>
    </row>
    <row r="273" ht="90.0" customHeight="1">
      <c r="A273" s="29"/>
      <c r="B273" s="38" t="s">
        <v>118</v>
      </c>
      <c r="C273" s="39" t="s">
        <v>845</v>
      </c>
      <c r="D273" s="40" t="s">
        <v>835</v>
      </c>
      <c r="E273" s="40" t="s">
        <v>174</v>
      </c>
      <c r="F273" s="40" t="s">
        <v>623</v>
      </c>
      <c r="G273" s="39" t="s">
        <v>184</v>
      </c>
      <c r="H273" s="41" t="s">
        <v>19</v>
      </c>
      <c r="I273" s="48" t="s">
        <v>846</v>
      </c>
      <c r="J273" s="42" t="str">
        <f>IFERROR(__xludf.DUMMYFUNCTION("GOOGLETRANSLATE(I273,""en"",""pl"")"),"Kamera zewnętrzna z płaskim okiem i siecią IR serii Q, 2 MP @60 kl./s, obiektyw stałoogniskowy 3,6 mm (94,8°), potrójny kodek H.265/H.264/MJPEG z WiseStream II, strumieniowanie wielokrotne, WDR 120 dB, True Day &amp; Night (ICR), widoczność podczerwieni 15 m,"&amp;" wykrywanie ruchu, wykrywanie manipulacji, wykrywanie braku ostrości, widok korytarzowy, dwukierunkowy dźwięk i gniazdo microSD/SDHC/SDXC, obsługa LDC (korekcja zniekształceń obiektywu), IP66, IK10, NEMA4X, PoE, złącze M12")</f>
        <v>Kamera zewnętrzna z płaskim okiem i siecią IR serii Q, 2 MP @60 kl./s, obiektyw stałoogniskowy 3,6 mm (94,8°), potrójny kodek H.265/H.264/MJPEG z WiseStream II, strumieniowanie wielokrotne, WDR 120 dB, True Day &amp; Night (ICR), widoczność podczerwieni 15 m, wykrywanie ruchu, wykrywanie manipulacji, wykrywanie braku ostrości, widok korytarzowy, dwukierunkowy dźwięk i gniazdo microSD/SDHC/SDXC, obsługa LDC (korekcja zniekształceń obiektywu), IP66, IK10, NEMA4X, PoE, złącze M12</v>
      </c>
      <c r="K273" s="43" t="s">
        <v>21</v>
      </c>
      <c r="L273" s="44">
        <v>399.0</v>
      </c>
      <c r="M273" s="8"/>
      <c r="N273" s="45" t="s">
        <v>22</v>
      </c>
      <c r="O273" s="97"/>
      <c r="P273" s="36"/>
      <c r="Q273" s="35"/>
      <c r="R273" s="68"/>
      <c r="S273" s="68"/>
      <c r="T273" s="68"/>
      <c r="U273" s="35"/>
      <c r="V273" s="35"/>
      <c r="W273" s="35"/>
      <c r="X273" s="35"/>
      <c r="Y273" s="35"/>
      <c r="Z273" s="35"/>
      <c r="AA273" s="35"/>
      <c r="AB273" s="35"/>
      <c r="AC273" s="60"/>
      <c r="AD273" s="85"/>
      <c r="AE273" s="85"/>
      <c r="AF273" s="85"/>
      <c r="AG273" s="85"/>
      <c r="AH273" s="85"/>
      <c r="AI273" s="85"/>
      <c r="AJ273" s="85"/>
      <c r="AK273" s="85"/>
      <c r="AL273" s="85"/>
      <c r="AM273" s="85"/>
      <c r="AN273" s="85"/>
      <c r="AO273" s="85"/>
      <c r="AP273" s="85"/>
    </row>
    <row r="274" ht="99.75" customHeight="1">
      <c r="A274" s="29"/>
      <c r="B274" s="38" t="s">
        <v>118</v>
      </c>
      <c r="C274" s="39" t="s">
        <v>847</v>
      </c>
      <c r="D274" s="40" t="s">
        <v>848</v>
      </c>
      <c r="E274" s="40" t="s">
        <v>174</v>
      </c>
      <c r="F274" s="40" t="s">
        <v>623</v>
      </c>
      <c r="G274" s="39" t="s">
        <v>213</v>
      </c>
      <c r="H274" s="41" t="s">
        <v>19</v>
      </c>
      <c r="I274" s="48" t="s">
        <v>849</v>
      </c>
      <c r="J274" s="42" t="str">
        <f>IFERROR(__xludf.DUMMYFUNCTION("GOOGLETRANSLATE(I274,""en"",""pl"")"),"Kamera sieciowa PTZ do zastosowań wewnętrznych z serii Q, 2 MP @30 kl./s, Full HD (1080p), obiektyw z 32-krotnym zoomem optycznym (4,44 ~ 142,6 mm) (64,66º ~ 2,29º), zakres obrotu 360° bez ograniczeń, prędkość obrotu 700°/s, potrójny kodek H.265/H.264/MJP"&amp;"EG z WiseStream II, strumieniowanie wielokrotne, WDR 120 dB, True Day &amp; Night (ICR), detekcja kierunkowa, detekcja ruchu, wejście/wyjście, sabotaż, wirtualna linia, detekcja dźwięku, cyfrowa stabilizacja obrazu z wbudowanym czujnikiem żyroskopowym, dwukie"&amp;"runkowy dźwięk i gniazdo SD/SDHC/SDXC, PoE+")</f>
        <v>Kamera sieciowa PTZ do zastosowań wewnętrznych z serii Q, 2 MP @30 kl./s, Full HD (1080p), obiektyw z 32-krotnym zoomem optycznym (4,44 ~ 142,6 mm) (64,66º ~ 2,29º), zakres obrotu 360° bez ograniczeń, prędkość obrotu 700°/s, potrójny kodek H.265/H.264/MJPEG z WiseStream II, strumieniowanie wielokrotne, WDR 120 dB, True Day &amp; Night (ICR), detekcja kierunkowa, detekcja ruchu, wejście/wyjście, sabotaż, wirtualna linia, detekcja dźwięku, cyfrowa stabilizacja obrazu z wbudowanym czujnikiem żyroskopowym, dwukierunkowy dźwięk i gniazdo SD/SDHC/SDXC, PoE+</v>
      </c>
      <c r="K274" s="43" t="s">
        <v>21</v>
      </c>
      <c r="L274" s="44">
        <v>2270.0</v>
      </c>
      <c r="M274" s="8"/>
      <c r="N274" s="45" t="s">
        <v>22</v>
      </c>
      <c r="O274" s="97"/>
      <c r="P274" s="35"/>
      <c r="Q274" s="35"/>
      <c r="R274" s="68"/>
      <c r="S274" s="68"/>
      <c r="T274" s="68"/>
      <c r="U274" s="35"/>
      <c r="V274" s="35"/>
      <c r="W274" s="35"/>
      <c r="X274" s="35"/>
      <c r="Y274" s="35"/>
      <c r="Z274" s="35"/>
      <c r="AA274" s="35"/>
      <c r="AB274" s="35"/>
      <c r="AC274" s="101"/>
      <c r="AD274" s="98"/>
      <c r="AE274" s="98"/>
      <c r="AF274" s="98"/>
      <c r="AG274" s="98"/>
      <c r="AH274" s="98"/>
      <c r="AI274" s="98"/>
      <c r="AJ274" s="98"/>
      <c r="AK274" s="98"/>
      <c r="AL274" s="98"/>
      <c r="AM274" s="98"/>
      <c r="AN274" s="98"/>
      <c r="AO274" s="98"/>
      <c r="AP274" s="98"/>
    </row>
    <row r="275" ht="99.75" customHeight="1">
      <c r="A275" s="29"/>
      <c r="B275" s="38" t="s">
        <v>118</v>
      </c>
      <c r="C275" s="39" t="s">
        <v>850</v>
      </c>
      <c r="D275" s="40" t="s">
        <v>851</v>
      </c>
      <c r="E275" s="40" t="s">
        <v>174</v>
      </c>
      <c r="F275" s="40" t="s">
        <v>623</v>
      </c>
      <c r="G275" s="39" t="s">
        <v>213</v>
      </c>
      <c r="H275" s="41" t="s">
        <v>19</v>
      </c>
      <c r="I275" s="48" t="s">
        <v>852</v>
      </c>
      <c r="J275" s="42" t="str">
        <f>IFERROR(__xludf.DUMMYFUNCTION("GOOGLETRANSLATE(I275,""en"",""pl"")"),"Seria Q sieciowa kamera zewnętrzna IR PTZ, 2 MP @60fps, obiektyw z 32-krotnym zoomem optycznym (4,44 ~ 142,6 mm) (64,66º ~ 2,29º), zakres panoramowania 360° bez ograniczeń, prędkość panoramowania 700/sek., pochylenie: -20° ~ 90°, potrójny kodek H.265/H.26"&amp;"4/MJPEG z WiseStream II, strumieniowanie wielokrotne, WDR 120 dB, True Day &amp; Night (ICR), widoczny zasięg IR 100 m (Wise IR), wykrywanie ruchu, wykrywanie manipulacji, wykrywanie braku ostrości, cyfrowa stabilizacja obrazu z wbudowanym czujnikiem żyroskop"&amp;"owym, dwukierunkowy dźwięk i dwa gniazda SD/SDHC/SDXC, IP66, IK10, PoE+, NEMA4X")</f>
        <v>Seria Q sieciowa kamera zewnętrzna IR PTZ, 2 MP @60fps, obiektyw z 32-krotnym zoomem optycznym (4,44 ~ 142,6 mm) (64,66º ~ 2,29º), zakres panoramowania 360° bez ograniczeń, prędkość panoramowania 700/sek., pochylenie: -20° ~ 90°, potrójny kodek H.265/H.264/MJPEG z WiseStream II, strumieniowanie wielokrotne, WDR 120 dB, True Day &amp; Night (ICR), widoczny zasięg IR 100 m (Wise IR), wykrywanie ruchu, wykrywanie manipulacji, wykrywanie braku ostrości, cyfrowa stabilizacja obrazu z wbudowanym czujnikiem żyroskopowym, dwukierunkowy dźwięk i dwa gniazda SD/SDHC/SDXC, IP66, IK10, PoE+, NEMA4X</v>
      </c>
      <c r="K275" s="43" t="s">
        <v>21</v>
      </c>
      <c r="L275" s="44">
        <v>2667.0</v>
      </c>
      <c r="M275" s="8"/>
      <c r="N275" s="45" t="s">
        <v>22</v>
      </c>
      <c r="O275" s="97"/>
      <c r="P275" s="35"/>
      <c r="Q275" s="35"/>
      <c r="R275" s="68"/>
      <c r="S275" s="68"/>
      <c r="T275" s="68"/>
      <c r="U275" s="35"/>
      <c r="V275" s="35"/>
      <c r="W275" s="35"/>
      <c r="X275" s="35"/>
      <c r="Y275" s="35"/>
      <c r="Z275" s="35"/>
      <c r="AA275" s="35"/>
      <c r="AB275" s="35"/>
      <c r="AC275" s="101"/>
      <c r="AD275" s="98"/>
      <c r="AE275" s="98"/>
      <c r="AF275" s="98"/>
      <c r="AG275" s="98"/>
      <c r="AH275" s="98"/>
      <c r="AI275" s="98"/>
      <c r="AJ275" s="98"/>
      <c r="AK275" s="98"/>
      <c r="AL275" s="98"/>
      <c r="AM275" s="98"/>
      <c r="AN275" s="98"/>
      <c r="AO275" s="98"/>
      <c r="AP275" s="98"/>
    </row>
    <row r="276" ht="99.75" customHeight="1">
      <c r="A276" s="29"/>
      <c r="B276" s="38" t="s">
        <v>118</v>
      </c>
      <c r="C276" s="39" t="s">
        <v>853</v>
      </c>
      <c r="D276" s="40" t="s">
        <v>848</v>
      </c>
      <c r="E276" s="40" t="s">
        <v>174</v>
      </c>
      <c r="F276" s="40" t="s">
        <v>623</v>
      </c>
      <c r="G276" s="39" t="s">
        <v>213</v>
      </c>
      <c r="H276" s="41" t="s">
        <v>19</v>
      </c>
      <c r="I276" s="48" t="s">
        <v>854</v>
      </c>
      <c r="J276" s="42" t="str">
        <f>IFERROR(__xludf.DUMMYFUNCTION("GOOGLETRANSLATE(I276,""en"",""pl"")"),"Kamera zewnętrzna PTZ sieciowa serii Q, 2 MP @30fps, Full HD (1080p), obiektyw z 32-krotnym zoomem optycznym (4,44 ~ 142,6 mm), zakres panoramowania 360° bez ograniczeń, prędkość panoramowania 700°/sek., potrójny kodek H.265/H.264/MJPEG z WiseStream II, s"&amp;"trumieniowanie wielokrotne, WDR 120 dB, True Day &amp; Night (ICR), detekcja kierunkowa, detekcja ruchu, wejście/wyjście, manipulacja, wykrywanie dźwięku linii wirtualnej (z NW I/O Box), cyfrowa stabilizacja obrazu z wbudowanym czujnikiem żyroskopowym i gniaz"&amp;"dem SD/SDHC/SDXC, IP66, IK10, PoE+")</f>
        <v>Kamera zewnętrzna PTZ sieciowa serii Q, 2 MP @30fps, Full HD (1080p), obiektyw z 32-krotnym zoomem optycznym (4,44 ~ 142,6 mm), zakres panoramowania 360° bez ograniczeń, prędkość panoramowania 700°/sek., potrójny kodek H.265/H.264/MJPEG z WiseStream II, strumieniowanie wielokrotne, WDR 120 dB, True Day &amp; Night (ICR), detekcja kierunkowa, detekcja ruchu, wejście/wyjście, manipulacja, wykrywanie dźwięku linii wirtualnej (z NW I/O Box), cyfrowa stabilizacja obrazu z wbudowanym czujnikiem żyroskopowym i gniazdem SD/SDHC/SDXC, IP66, IK10, PoE+</v>
      </c>
      <c r="K276" s="43" t="s">
        <v>21</v>
      </c>
      <c r="L276" s="44">
        <v>2450.0</v>
      </c>
      <c r="M276" s="8"/>
      <c r="N276" s="45" t="s">
        <v>22</v>
      </c>
      <c r="O276" s="97"/>
      <c r="P276" s="35"/>
      <c r="Q276" s="35"/>
      <c r="R276" s="68"/>
      <c r="S276" s="68"/>
      <c r="T276" s="68"/>
      <c r="U276" s="35"/>
      <c r="V276" s="35"/>
      <c r="W276" s="35"/>
      <c r="X276" s="35"/>
      <c r="Y276" s="35"/>
      <c r="Z276" s="35"/>
      <c r="AA276" s="35"/>
      <c r="AB276" s="35"/>
      <c r="AC276" s="101"/>
      <c r="AD276" s="98"/>
      <c r="AE276" s="98"/>
      <c r="AF276" s="98"/>
      <c r="AG276" s="98"/>
      <c r="AH276" s="98"/>
      <c r="AI276" s="98"/>
      <c r="AJ276" s="98"/>
      <c r="AK276" s="98"/>
      <c r="AL276" s="98"/>
      <c r="AM276" s="98"/>
      <c r="AN276" s="98"/>
      <c r="AO276" s="98"/>
      <c r="AP276" s="98"/>
    </row>
    <row r="277" ht="99.75" customHeight="1">
      <c r="A277" s="29"/>
      <c r="B277" s="38" t="s">
        <v>118</v>
      </c>
      <c r="C277" s="39" t="s">
        <v>855</v>
      </c>
      <c r="D277" s="40" t="s">
        <v>856</v>
      </c>
      <c r="E277" s="40" t="s">
        <v>174</v>
      </c>
      <c r="F277" s="40" t="s">
        <v>623</v>
      </c>
      <c r="G277" s="39" t="s">
        <v>213</v>
      </c>
      <c r="H277" s="41" t="s">
        <v>19</v>
      </c>
      <c r="I277" s="48" t="s">
        <v>857</v>
      </c>
      <c r="J277" s="42" t="str">
        <f>IFERROR(__xludf.DUMMYFUNCTION("GOOGLETRANSLATE(I277,""en"",""pl"")"),"Kamera sieciowa PTZ do zastosowań wewnętrznych z serii Q, 2 MP @30 kl./s, Full HD (1080p), obiektyw z 25-krotnym zoomem optycznym (4,44~111 mm) (64,66º~2,99º), nieograniczony zakres obrotu 360°, prędkość obrotu 700°/s, potrójny kodek H.265/H.264/MJPEG z W"&amp;"iseStream II, strumieniowanie wielokrotne, WDR 120 dB, True Day &amp; Night (ICR), detekcja kierunkowa, detekcja ruchu, wejście/wyjście, sabotaż, wirtualna linia, detekcja dźwięku, cyfrowa stabilizacja obrazu z wbudowanym czujnikiem żyroskopowym, dwukierunkow"&amp;"y dźwięk i gniazdo SD/SDHC/SDXC, PoE+")</f>
        <v>Kamera sieciowa PTZ do zastosowań wewnętrznych z serii Q, 2 MP @30 kl./s, Full HD (1080p), obiektyw z 25-krotnym zoomem optycznym (4,44~111 mm) (64,66º~2,99º), nieograniczony zakres obrotu 360°, prędkość obrotu 700°/s, potrójny kodek H.265/H.264/MJPEG z WiseStream II, strumieniowanie wielokrotne, WDR 120 dB, True Day &amp; Night (ICR), detekcja kierunkowa, detekcja ruchu, wejście/wyjście, sabotaż, wirtualna linia, detekcja dźwięku, cyfrowa stabilizacja obrazu z wbudowanym czujnikiem żyroskopowym, dwukierunkowy dźwięk i gniazdo SD/SDHC/SDXC, PoE+</v>
      </c>
      <c r="K277" s="43" t="s">
        <v>21</v>
      </c>
      <c r="L277" s="44">
        <v>1500.0</v>
      </c>
      <c r="M277" s="8"/>
      <c r="N277" s="45" t="s">
        <v>22</v>
      </c>
      <c r="O277" s="97"/>
      <c r="P277" s="35"/>
      <c r="Q277" s="35"/>
      <c r="R277" s="68"/>
      <c r="S277" s="68"/>
      <c r="T277" s="68"/>
      <c r="U277" s="35"/>
      <c r="V277" s="35"/>
      <c r="W277" s="35"/>
      <c r="X277" s="35"/>
      <c r="Y277" s="35"/>
      <c r="Z277" s="35"/>
      <c r="AA277" s="35"/>
      <c r="AB277" s="35"/>
      <c r="AC277" s="101"/>
      <c r="AD277" s="98"/>
      <c r="AE277" s="98"/>
      <c r="AF277" s="98"/>
      <c r="AG277" s="98"/>
      <c r="AH277" s="98"/>
      <c r="AI277" s="98"/>
      <c r="AJ277" s="98"/>
      <c r="AK277" s="98"/>
      <c r="AL277" s="98"/>
      <c r="AM277" s="98"/>
      <c r="AN277" s="98"/>
      <c r="AO277" s="98"/>
      <c r="AP277" s="98"/>
    </row>
    <row r="278" ht="99.75" customHeight="1">
      <c r="A278" s="29"/>
      <c r="B278" s="38" t="s">
        <v>118</v>
      </c>
      <c r="C278" s="39" t="s">
        <v>858</v>
      </c>
      <c r="D278" s="40" t="s">
        <v>859</v>
      </c>
      <c r="E278" s="40" t="s">
        <v>174</v>
      </c>
      <c r="F278" s="40" t="s">
        <v>623</v>
      </c>
      <c r="G278" s="39" t="s">
        <v>213</v>
      </c>
      <c r="H278" s="41" t="s">
        <v>19</v>
      </c>
      <c r="I278" s="48" t="s">
        <v>860</v>
      </c>
      <c r="J278" s="42" t="str">
        <f>IFERROR(__xludf.DUMMYFUNCTION("GOOGLETRANSLATE(I278,""en"",""pl"")"),"Kamera zewnętrzna PTZ z serii Q z siecią IR, 2 MP @30fps, obiektyw z zoomem optycznym 25X (4,44 ~ 142,6 mm) (61,8º ~ 3,08º), zakres obrotu 360° bez ograniczeń, prędkość obrotu 400°/sek., pochylenie: -20° ~ 90°, potrójny kodek H.265/H.264/MJPEG z WiseStrea"&amp;"m II, strumieniowanie wielokrotne, WDR 120 dB, True Day &amp; Night (ICR), widoczny zasięg IR 100 m (Wise IR), wykrywanie ruchu, wykrywanie manipulacji, wykrywanie braku ostrości, cyfrowa stabilizacja obrazu z wbudowanym czujnikiem żyroskopowym, dwukierunkowy"&amp;" dźwięk i dwa gniazda SD/SDHC/SDXC, IP66, IK10, PoE+, NEMA4X")</f>
        <v>Kamera zewnętrzna PTZ z serii Q z siecią IR, 2 MP @30fps, obiektyw z zoomem optycznym 25X (4,44 ~ 142,6 mm) (61,8º ~ 3,08º), zakres obrotu 360° bez ograniczeń, prędkość obrotu 400°/sek., pochylenie: -20° ~ 90°, potrójny kodek H.265/H.264/MJPEG z WiseStream II, strumieniowanie wielokrotne, WDR 120 dB, True Day &amp; Night (ICR), widoczny zasięg IR 100 m (Wise IR), wykrywanie ruchu, wykrywanie manipulacji, wykrywanie braku ostrości, cyfrowa stabilizacja obrazu z wbudowanym czujnikiem żyroskopowym, dwukierunkowy dźwięk i dwa gniazda SD/SDHC/SDXC, IP66, IK10, PoE+, NEMA4X</v>
      </c>
      <c r="K278" s="43" t="s">
        <v>21</v>
      </c>
      <c r="L278" s="44">
        <v>1840.0</v>
      </c>
      <c r="M278" s="8"/>
      <c r="N278" s="45" t="s">
        <v>22</v>
      </c>
      <c r="O278" s="97"/>
      <c r="P278" s="36"/>
      <c r="Q278" s="35"/>
      <c r="R278" s="68"/>
      <c r="S278" s="68"/>
      <c r="T278" s="68"/>
      <c r="U278" s="35"/>
      <c r="V278" s="35"/>
      <c r="W278" s="35"/>
      <c r="X278" s="35"/>
      <c r="Y278" s="35"/>
      <c r="Z278" s="35"/>
      <c r="AA278" s="35"/>
      <c r="AB278" s="35"/>
      <c r="AC278" s="60"/>
      <c r="AD278" s="85"/>
      <c r="AE278" s="85"/>
      <c r="AF278" s="85"/>
      <c r="AG278" s="85"/>
      <c r="AH278" s="85"/>
      <c r="AI278" s="85"/>
      <c r="AJ278" s="85"/>
      <c r="AK278" s="85"/>
      <c r="AL278" s="85"/>
      <c r="AM278" s="85"/>
      <c r="AN278" s="85"/>
      <c r="AO278" s="85"/>
      <c r="AP278" s="85"/>
    </row>
    <row r="279" ht="99.75" customHeight="1">
      <c r="A279" s="29"/>
      <c r="B279" s="38" t="s">
        <v>118</v>
      </c>
      <c r="C279" s="39" t="s">
        <v>861</v>
      </c>
      <c r="D279" s="40" t="s">
        <v>856</v>
      </c>
      <c r="E279" s="40" t="s">
        <v>174</v>
      </c>
      <c r="F279" s="40" t="s">
        <v>623</v>
      </c>
      <c r="G279" s="39" t="s">
        <v>213</v>
      </c>
      <c r="H279" s="41" t="s">
        <v>19</v>
      </c>
      <c r="I279" s="48" t="s">
        <v>862</v>
      </c>
      <c r="J279" s="42" t="str">
        <f>IFERROR(__xludf.DUMMYFUNCTION("GOOGLETRANSLATE(I279,""en"",""pl"")"),"Kamera zewnętrzna PTZ sieciowa serii Q, 2 MP @30fps, Full HD (1080p), obiektyw z 25-krotnym zoomem optycznym (4,44 ~ 111 mm), zakres panoramowania 360° bez ograniczeń, prędkość panoramowania 700°/sek., potrójny kodek H.265/H.264/MJPEG z WiseStream II, str"&amp;"umieniowanie wielokrotne, WDR 120 dB, True Day &amp; Night (ICR), detekcja kierunkowa, detekcja ruchu, wejście/wyjście, manipulacja, wykrywanie dźwięku linii wirtualnej (z NW I/O Box), cyfrowa stabilizacja obrazu z wbudowanym czujnikiem żyroskopowym i gniazde"&amp;"m SD/SDHC/SDXC, IP66, IK10, PoE+")</f>
        <v>Kamera zewnętrzna PTZ sieciowa serii Q, 2 MP @30fps, Full HD (1080p), obiektyw z 25-krotnym zoomem optycznym (4,44 ~ 111 mm), zakres panoramowania 360° bez ograniczeń, prędkość panoramowania 700°/sek., potrójny kodek H.265/H.264/MJPEG z WiseStream II, strumieniowanie wielokrotne, WDR 120 dB, True Day &amp; Night (ICR), detekcja kierunkowa, detekcja ruchu, wejście/wyjście, manipulacja, wykrywanie dźwięku linii wirtualnej (z NW I/O Box), cyfrowa stabilizacja obrazu z wbudowanym czujnikiem żyroskopowym i gniazdem SD/SDHC/SDXC, IP66, IK10, PoE+</v>
      </c>
      <c r="K279" s="43" t="s">
        <v>21</v>
      </c>
      <c r="L279" s="44">
        <v>1700.0</v>
      </c>
      <c r="M279" s="8"/>
      <c r="N279" s="45" t="s">
        <v>22</v>
      </c>
      <c r="O279" s="97"/>
      <c r="P279" s="35"/>
      <c r="Q279" s="35"/>
      <c r="R279" s="68"/>
      <c r="S279" s="68"/>
      <c r="T279" s="68"/>
      <c r="U279" s="35"/>
      <c r="V279" s="35"/>
      <c r="W279" s="35"/>
      <c r="X279" s="35"/>
      <c r="Y279" s="35"/>
      <c r="Z279" s="35"/>
      <c r="AA279" s="35"/>
      <c r="AB279" s="35"/>
      <c r="AC279" s="101"/>
      <c r="AD279" s="98"/>
      <c r="AE279" s="98"/>
      <c r="AF279" s="98"/>
      <c r="AG279" s="98"/>
      <c r="AH279" s="98"/>
      <c r="AI279" s="98"/>
      <c r="AJ279" s="98"/>
      <c r="AK279" s="98"/>
      <c r="AL279" s="98"/>
      <c r="AM279" s="98"/>
      <c r="AN279" s="98"/>
      <c r="AO279" s="98"/>
      <c r="AP279" s="98"/>
    </row>
    <row r="280" ht="87.0" customHeight="1">
      <c r="A280" s="29"/>
      <c r="B280" s="38" t="s">
        <v>118</v>
      </c>
      <c r="C280" s="39" t="s">
        <v>863</v>
      </c>
      <c r="D280" s="40" t="s">
        <v>864</v>
      </c>
      <c r="E280" s="40" t="s">
        <v>174</v>
      </c>
      <c r="F280" s="40" t="s">
        <v>623</v>
      </c>
      <c r="G280" s="39" t="s">
        <v>213</v>
      </c>
      <c r="H280" s="41" t="s">
        <v>865</v>
      </c>
      <c r="I280" s="48" t="s">
        <v>866</v>
      </c>
      <c r="J280" s="42" t="str">
        <f>IFERROR(__xludf.DUMMYFUNCTION("GOOGLETRANSLATE(I280,""en"",""pl"")"),"Kamera sieciowa PTZ ze stali nierdzewnej serii Q, 2 MP @ 30 kl./s, Full HD (1080p), obiektyw z 32-krotnym zoomem optycznym (4,44 mm ~ 142,6 mm), zakres obrotu 360° bez ograniczeń, prędkość obrotu 700°/sek., H.265/H.264/MJPEG z WiseStream II, strumieniowan"&amp;"ie wielokrotne, WDR 120 dB, True Day &amp; Night (ICR), wykrywanie kierunkowe, wykrywanie ruchu, wejście/wyjście, manipulacja, linia wirtualna, wykrywanie dźwięku (z NW I/O Box), HLC, cyfrowa stabilizacja obrazu z wbudowanym czujnikiem żyroskopowym, gniazdo M"&amp;"icro SD/SDHC/SDXC, IP67, IP66, NEMA4X, IK10, PoE+, maks. 23 W, typ. 14 W")</f>
        <v>Kamera sieciowa PTZ ze stali nierdzewnej serii Q, 2 MP @ 30 kl./s, Full HD (1080p), obiektyw z 32-krotnym zoomem optycznym (4,44 mm ~ 142,6 mm), zakres obrotu 360° bez ograniczeń, prędkość obrotu 700°/sek., H.265/H.264/MJPEG z WiseStream II, strumieniowanie wielokrotne, WDR 120 dB, True Day &amp; Night (ICR), wykrywanie kierunkowe, wykrywanie ruchu, wejście/wyjście, manipulacja, linia wirtualna, wykrywanie dźwięku (z NW I/O Box), HLC, cyfrowa stabilizacja obrazu z wbudowanym czujnikiem żyroskopowym, gniazdo Micro SD/SDHC/SDXC, IP67, IP66, NEMA4X, IK10, PoE+, maks. 23 W, typ. 14 W</v>
      </c>
      <c r="K280" s="43" t="s">
        <v>21</v>
      </c>
      <c r="L280" s="44">
        <v>4169.0</v>
      </c>
      <c r="M280" s="8"/>
      <c r="N280" s="45" t="s">
        <v>22</v>
      </c>
      <c r="O280" s="97"/>
      <c r="P280" s="36"/>
      <c r="Q280" s="35"/>
      <c r="R280" s="68"/>
      <c r="S280" s="68"/>
      <c r="T280" s="68"/>
      <c r="U280" s="35"/>
      <c r="V280" s="35"/>
      <c r="W280" s="35"/>
      <c r="X280" s="35"/>
      <c r="Y280" s="35"/>
      <c r="Z280" s="35"/>
      <c r="AA280" s="35"/>
      <c r="AB280" s="35"/>
      <c r="AC280" s="60"/>
      <c r="AD280" s="85"/>
      <c r="AE280" s="85"/>
      <c r="AF280" s="85"/>
      <c r="AG280" s="85"/>
      <c r="AH280" s="85"/>
      <c r="AI280" s="85"/>
      <c r="AJ280" s="85"/>
      <c r="AK280" s="85"/>
      <c r="AL280" s="85"/>
      <c r="AM280" s="85"/>
      <c r="AN280" s="85"/>
      <c r="AO280" s="85"/>
      <c r="AP280" s="85"/>
    </row>
    <row r="281" ht="99.75" customHeight="1">
      <c r="A281" s="29"/>
      <c r="B281" s="38" t="s">
        <v>118</v>
      </c>
      <c r="C281" s="39" t="s">
        <v>867</v>
      </c>
      <c r="D281" s="40" t="s">
        <v>868</v>
      </c>
      <c r="E281" s="40" t="s">
        <v>168</v>
      </c>
      <c r="F281" s="40" t="s">
        <v>623</v>
      </c>
      <c r="G281" s="39" t="s">
        <v>131</v>
      </c>
      <c r="H281" s="41" t="s">
        <v>19</v>
      </c>
      <c r="I281" s="48" t="s">
        <v>869</v>
      </c>
      <c r="J281" s="42" t="str">
        <f>IFERROR(__xludf.DUMMYFUNCTION("GOOGLETRANSLATE(I281,""en"",""pl"")"),"Seria X zasilana zdalną kamerą czołową Wisenet 5, 2 MP @60 kl./s, obiektyw stałoogniskowy 4,6 mm (73°), potrójny kodek H.265/H.264/MJPEG z WiseStream II, strumieniowanie wielokrotne, WDR 120 dB, zaawansowana analiza wideo i klasyfikacja dźwięku oraz anali"&amp;"za biznesowa, wykrywanie ruchu, wykrywanie mgły, HLC, przekazywanie, cyfrowa stabilizacja obrazu, dwukierunkowy dźwięk i gniazdo SD/SDHC/SDXC, port USB ułatwiający instalację, PoE/12 V DC, obudowa na pasek wysokości")</f>
        <v>Seria X zasilana zdalną kamerą czołową Wisenet 5, 2 MP @60 kl./s, obiektyw stałoogniskowy 4,6 mm (73°), potrójny kodek H.265/H.264/MJPEG z WiseStream II, strumieniowanie wielokrotne, WDR 120 dB, zaawansowana analiza wideo i klasyfikacja dźwięku oraz analiza biznesowa, wykrywanie ruchu, wykrywanie mgły, HLC, przekazywanie, cyfrowa stabilizacja obrazu, dwukierunkowy dźwięk i gniazdo SD/SDHC/SDXC, port USB ułatwiający instalację, PoE/12 V DC, obudowa na pasek wysokości</v>
      </c>
      <c r="K281" s="43" t="s">
        <v>21</v>
      </c>
      <c r="L281" s="44">
        <v>1055.0</v>
      </c>
      <c r="M281" s="8"/>
      <c r="N281" s="45" t="s">
        <v>22</v>
      </c>
      <c r="O281" s="97"/>
      <c r="P281" s="36"/>
      <c r="Q281" s="35"/>
      <c r="R281" s="68"/>
      <c r="S281" s="68"/>
      <c r="T281" s="68"/>
      <c r="U281" s="35"/>
      <c r="V281" s="35"/>
      <c r="W281" s="35"/>
      <c r="X281" s="35"/>
      <c r="Y281" s="35"/>
      <c r="Z281" s="35"/>
      <c r="AA281" s="35"/>
      <c r="AB281" s="35"/>
      <c r="AC281" s="60"/>
      <c r="AD281" s="85"/>
      <c r="AE281" s="85"/>
      <c r="AF281" s="85"/>
      <c r="AG281" s="85"/>
      <c r="AH281" s="85"/>
      <c r="AI281" s="85"/>
      <c r="AJ281" s="85"/>
      <c r="AK281" s="85"/>
      <c r="AL281" s="85"/>
      <c r="AM281" s="85"/>
      <c r="AN281" s="85"/>
      <c r="AO281" s="85"/>
      <c r="AP281" s="85"/>
    </row>
    <row r="282" ht="99.75" customHeight="1">
      <c r="A282" s="29"/>
      <c r="B282" s="38" t="s">
        <v>118</v>
      </c>
      <c r="C282" s="39" t="s">
        <v>870</v>
      </c>
      <c r="D282" s="40" t="s">
        <v>871</v>
      </c>
      <c r="E282" s="40" t="s">
        <v>16</v>
      </c>
      <c r="F282" s="40" t="s">
        <v>623</v>
      </c>
      <c r="G282" s="39" t="s">
        <v>872</v>
      </c>
      <c r="H282" s="41" t="s">
        <v>19</v>
      </c>
      <c r="I282" s="125" t="s">
        <v>873</v>
      </c>
      <c r="J282" s="42" t="str">
        <f>IFERROR(__xludf.DUMMYFUNCTION("GOOGLETRANSLATE(I282,""en"",""pl"")"),"Interkom sieciowy serii T, 2 MP@60fps, obiektyw stały 1,6 mm, podczerwień 5 m, True Day &amp; Night (ICR), podświetlany przycisk wywołania, opcja połączeń bezdotykowych, wbudowany mikrofon i głośnik, redukcja echa i szumów, tryb korytarzowy, przekazywanie kam"&amp;"ery, obsługa protokołu SIP 2.0 do integracji z systemami VoIP, H.265/H.264/MJPEG z WiseStream II, otwarta platforma, wbudowana zaawansowana analiza wideo bez licencji: wykrywanie kierunkowe, wykrywanie ruchu, pojawianie się/znikanie, wejście/wyjście, włóc"&amp;"zęgostwo, manipulacja, wirtualna linia, wykrywanie dźwięku, wykrywanie wstrząsów, klasyfikacja dźwięku, 1 gniazdo na kartę Micro SD, 2 wejścia/1 wyjście/1 przekaźnik, IP65, IK08, NEMA4X, bezpieczeństwo (UL), EMC (FCC, CE)")</f>
        <v>Interkom sieciowy serii T, 2 MP@60fps, obiektyw stały 1,6 mm, podczerwień 5 m, True Day &amp; Night (ICR), podświetlany przycisk wywołania, opcja połączeń bezdotykowych, wbudowany mikrofon i głośnik, redukcja echa i szumów, tryb korytarzowy, przekazywanie kamery, obsługa protokołu SIP 2.0 do integracji z systemami VoIP, H.265/H.264/MJPEG z WiseStream II, otwarta platforma, wbudowana zaawansowana analiza wideo bez licencji: wykrywanie kierunkowe, wykrywanie ruchu, pojawianie się/znikanie, wejście/wyjście, włóczęgostwo, manipulacja, wirtualna linia, wykrywanie dźwięku, wykrywanie wstrząsów, klasyfikacja dźwięku, 1 gniazdo na kartę Micro SD, 2 wejścia/1 wyjście/1 przekaźnik, IP65, IK08, NEMA4X, bezpieczeństwo (UL), EMC (FCC, CE)</v>
      </c>
      <c r="K282" s="43" t="s">
        <v>21</v>
      </c>
      <c r="L282" s="44">
        <v>1180.0</v>
      </c>
      <c r="M282" s="8"/>
      <c r="N282" s="45" t="s">
        <v>22</v>
      </c>
      <c r="O282" s="97"/>
      <c r="P282" s="36"/>
      <c r="Q282" s="35"/>
      <c r="R282" s="68"/>
      <c r="S282" s="68"/>
      <c r="T282" s="68"/>
      <c r="U282" s="35"/>
      <c r="V282" s="35"/>
      <c r="W282" s="35"/>
      <c r="X282" s="35"/>
      <c r="Y282" s="35"/>
      <c r="Z282" s="35"/>
      <c r="AA282" s="35"/>
      <c r="AB282" s="35"/>
      <c r="AC282" s="60"/>
      <c r="AD282" s="85"/>
      <c r="AE282" s="85"/>
      <c r="AF282" s="85"/>
      <c r="AG282" s="85"/>
      <c r="AH282" s="85"/>
      <c r="AI282" s="85"/>
      <c r="AJ282" s="85"/>
      <c r="AK282" s="85"/>
      <c r="AL282" s="85"/>
      <c r="AM282" s="85"/>
      <c r="AN282" s="85"/>
      <c r="AO282" s="85"/>
      <c r="AP282" s="85"/>
    </row>
    <row r="283" ht="99.75" customHeight="1">
      <c r="A283" s="29"/>
      <c r="B283" s="38" t="s">
        <v>118</v>
      </c>
      <c r="C283" s="39" t="s">
        <v>874</v>
      </c>
      <c r="D283" s="40" t="s">
        <v>875</v>
      </c>
      <c r="E283" s="40" t="s">
        <v>16</v>
      </c>
      <c r="F283" s="40" t="s">
        <v>623</v>
      </c>
      <c r="G283" s="39" t="s">
        <v>876</v>
      </c>
      <c r="H283" s="41" t="s">
        <v>170</v>
      </c>
      <c r="I283" s="125" t="s">
        <v>877</v>
      </c>
      <c r="J283" s="42" t="str">
        <f>IFERROR(__xludf.DUMMYFUNCTION("GOOGLETRANSLATE(I283,""en"",""pl"")"),"Kamera sieciowa serii T z pozycjonowaniem, 2 MP @60 kl./s, obiektyw z 32-krotnym zoomem optycznym 4,44 ~ 142,6 mm (61,8º ~ 2,19º), potrójny kodek H.265/H.264/MJPEG z WiseStream II, strumieniowanie wielokrotne, WDR 120 dB, True Day &amp; Night (ICR), zaawansow"&amp;"ana analiza wideo, wykrywanie twarzy, wykrywanie ruchu, wykrywanie mgły, przekazywanie, HLC, cyfrowa stabilizacja obrazu, dwukierunkowy dźwięk i dwa gniazda microSD/SDHC/SDXC, IP66, bezpieczeństwo (UL, KC-SDOC), EMC (FCC, CE, VCCI, RCM, KC), 24 V AC")</f>
        <v>Kamera sieciowa serii T z pozycjonowaniem, 2 MP @60 kl./s, obiektyw z 32-krotnym zoomem optycznym 4,44 ~ 142,6 mm (61,8º ~ 2,19º), potrójny kodek H.265/H.264/MJPEG z WiseStream II, strumieniowanie wielokrotne, WDR 120 dB, True Day &amp; Night (ICR), zaawansowana analiza wideo, wykrywanie twarzy, wykrywanie ruchu, wykrywanie mgły, przekazywanie, HLC, cyfrowa stabilizacja obrazu, dwukierunkowy dźwięk i dwa gniazda microSD/SDHC/SDXC, IP66, bezpieczeństwo (UL, KC-SDOC), EMC (FCC, CE, VCCI, RCM, KC), 24 V AC</v>
      </c>
      <c r="K283" s="43" t="s">
        <v>21</v>
      </c>
      <c r="L283" s="44">
        <v>3998.0</v>
      </c>
      <c r="M283" s="8"/>
      <c r="N283" s="45" t="s">
        <v>22</v>
      </c>
      <c r="O283" s="97"/>
      <c r="P283" s="36"/>
      <c r="Q283" s="35"/>
      <c r="R283" s="68"/>
      <c r="S283" s="68"/>
      <c r="T283" s="68"/>
      <c r="U283" s="35"/>
      <c r="V283" s="35"/>
      <c r="W283" s="35"/>
      <c r="X283" s="35"/>
      <c r="Y283" s="35"/>
      <c r="Z283" s="35"/>
      <c r="AA283" s="35"/>
      <c r="AB283" s="35"/>
      <c r="AC283" s="60"/>
      <c r="AD283" s="85"/>
      <c r="AE283" s="85"/>
      <c r="AF283" s="85"/>
      <c r="AG283" s="85"/>
      <c r="AH283" s="85"/>
      <c r="AI283" s="85"/>
      <c r="AJ283" s="85"/>
      <c r="AK283" s="85"/>
      <c r="AL283" s="85"/>
      <c r="AM283" s="85"/>
      <c r="AN283" s="85"/>
      <c r="AO283" s="85"/>
      <c r="AP283" s="85"/>
    </row>
    <row r="284" ht="99.75" customHeight="1">
      <c r="A284" s="29"/>
      <c r="B284" s="38" t="s">
        <v>118</v>
      </c>
      <c r="C284" s="39" t="s">
        <v>878</v>
      </c>
      <c r="D284" s="40" t="s">
        <v>879</v>
      </c>
      <c r="E284" s="40" t="s">
        <v>16</v>
      </c>
      <c r="F284" s="40" t="s">
        <v>623</v>
      </c>
      <c r="G284" s="39" t="s">
        <v>131</v>
      </c>
      <c r="H284" s="41" t="s">
        <v>19</v>
      </c>
      <c r="I284" s="48" t="s">
        <v>880</v>
      </c>
      <c r="J284" s="42" t="str">
        <f>IFERROR(__xludf.DUMMYFUNCTION("GOOGLETRANSLATE(I284,""en"",""pl"")"),"Kamera PVM serii T z technologią Wisenet 5, 1080p (1920x1080), wyjście micro HDMI, proporcje obrazu 16:9, wyświetlanie obrazu z wykrywaniem twarzy w celu wizualnego odstraszania, nakładka z tekstem z możliwością personalizacji, obiektyw stałoogniskowy 4,6"&amp;" mm (73,8°H), WDR 150 dB, H.265/H.264/MJPEG, technologia kompresji WiseStream II, karty micro SD/SDHC/SDXC, dźwięk dwukierunkowy, tryb widoku korytarzowego")</f>
        <v>Kamera PVM serii T z technologią Wisenet 5, 1080p (1920x1080), wyjście micro HDMI, proporcje obrazu 16:9, wyświetlanie obrazu z wykrywaniem twarzy w celu wizualnego odstraszania, nakładka z tekstem z możliwością personalizacji, obiektyw stałoogniskowy 4,6 mm (73,8°H), WDR 150 dB, H.265/H.264/MJPEG, technologia kompresji WiseStream II, karty micro SD/SDHC/SDXC, dźwięk dwukierunkowy, tryb widoku korytarzowego</v>
      </c>
      <c r="K284" s="43" t="s">
        <v>21</v>
      </c>
      <c r="L284" s="44">
        <v>648.0</v>
      </c>
      <c r="M284" s="8"/>
      <c r="N284" s="45" t="s">
        <v>22</v>
      </c>
      <c r="O284" s="97"/>
      <c r="P284" s="36"/>
      <c r="Q284" s="35"/>
      <c r="R284" s="68"/>
      <c r="S284" s="68"/>
      <c r="T284" s="68"/>
      <c r="U284" s="35"/>
      <c r="V284" s="35"/>
      <c r="W284" s="35"/>
      <c r="X284" s="35"/>
      <c r="Y284" s="35"/>
      <c r="Z284" s="35"/>
      <c r="AA284" s="35"/>
      <c r="AB284" s="35"/>
      <c r="AC284" s="60"/>
      <c r="AD284" s="85"/>
      <c r="AE284" s="85"/>
      <c r="AF284" s="85"/>
      <c r="AG284" s="85"/>
      <c r="AH284" s="85"/>
      <c r="AI284" s="85"/>
      <c r="AJ284" s="85"/>
      <c r="AK284" s="85"/>
      <c r="AL284" s="85"/>
      <c r="AM284" s="85"/>
      <c r="AN284" s="85"/>
      <c r="AO284" s="85"/>
      <c r="AP284" s="85"/>
    </row>
    <row r="285" ht="90.0" customHeight="1">
      <c r="A285" s="29"/>
      <c r="B285" s="38" t="s">
        <v>118</v>
      </c>
      <c r="C285" s="39" t="s">
        <v>881</v>
      </c>
      <c r="D285" s="40" t="s">
        <v>882</v>
      </c>
      <c r="E285" s="40" t="s">
        <v>593</v>
      </c>
      <c r="F285" s="40" t="s">
        <v>623</v>
      </c>
      <c r="G285" s="103" t="s">
        <v>255</v>
      </c>
      <c r="H285" s="41" t="s">
        <v>19</v>
      </c>
      <c r="I285" s="48" t="s">
        <v>883</v>
      </c>
      <c r="J285" s="42" t="str">
        <f>IFERROR(__xludf.DUMMYFUNCTION("GOOGLETRANSLATE(I285,""en"",""pl"")"),"Kamera wieżowa Wisenet serii A, 2 MP @ 30 FPS, obiektyw o stałej ogniskowej 3 mm, FoV H: 107,7° / V: 59,0°, WiseStream II, potrójny kodek (H.265/H.264/MJPEG), WDR 120 dB, diody LED IR 20 m (65,62 ft), dzień i noc (ICR), wirtualny obszar (wtargnięcie/wejśc"&amp;"ie/wyjście), wirtualna linia (przekroczenie/kierunek), wykrywanie ruchu, manipulacja, widok na korytarz, karta SD, IP66, PoE, kolor biały.")</f>
        <v>Kamera wieżowa Wisenet serii A, 2 MP @ 30 FPS, obiektyw o stałej ogniskowej 3 mm, FoV H: 107,7° / V: 59,0°, WiseStream II, potrójny kodek (H.265/H.264/MJPEG), WDR 120 dB, diody LED IR 20 m (65,62 ft), dzień i noc (ICR), wirtualny obszar (wtargnięcie/wejście/wyjście), wirtualna linia (przekroczenie/kierunek), wykrywanie ruchu, manipulacja, widok na korytarz, karta SD, IP66, PoE, kolor biały.</v>
      </c>
      <c r="K285" s="43" t="s">
        <v>21</v>
      </c>
      <c r="L285" s="44">
        <v>250.0</v>
      </c>
      <c r="M285" s="8"/>
      <c r="N285" s="45" t="s">
        <v>22</v>
      </c>
      <c r="O285" s="97"/>
      <c r="P285" s="36"/>
      <c r="Q285" s="35"/>
      <c r="R285" s="68"/>
      <c r="S285" s="68"/>
      <c r="T285" s="68"/>
      <c r="U285" s="35"/>
      <c r="V285" s="35"/>
      <c r="W285" s="35"/>
      <c r="X285" s="35"/>
      <c r="Y285" s="35"/>
      <c r="Z285" s="35"/>
      <c r="AA285" s="35"/>
      <c r="AB285" s="35"/>
      <c r="AC285" s="60"/>
      <c r="AD285" s="85"/>
      <c r="AE285" s="85"/>
      <c r="AF285" s="85"/>
      <c r="AG285" s="85"/>
      <c r="AH285" s="85"/>
      <c r="AI285" s="85"/>
      <c r="AJ285" s="85"/>
      <c r="AK285" s="85"/>
      <c r="AL285" s="85"/>
      <c r="AM285" s="85"/>
      <c r="AN285" s="85"/>
      <c r="AO285" s="85"/>
      <c r="AP285" s="85"/>
    </row>
    <row r="286" ht="90.0" customHeight="1">
      <c r="A286" s="29"/>
      <c r="B286" s="38" t="s">
        <v>118</v>
      </c>
      <c r="C286" s="39" t="s">
        <v>884</v>
      </c>
      <c r="D286" s="40" t="s">
        <v>719</v>
      </c>
      <c r="E286" s="40" t="s">
        <v>593</v>
      </c>
      <c r="F286" s="40" t="s">
        <v>623</v>
      </c>
      <c r="G286" s="39" t="s">
        <v>18</v>
      </c>
      <c r="H286" s="41" t="s">
        <v>19</v>
      </c>
      <c r="I286" s="48" t="s">
        <v>885</v>
      </c>
      <c r="J286" s="42" t="str">
        <f>IFERROR(__xludf.DUMMYFUNCTION("GOOGLETRANSLATE(I286,""en"",""pl"")"),"Kamera typu bullet z serii A, 2 MP @ 30 FPS, obiektyw o stałej ogniskowej 2,8 mm, pole widzenia (FoV) H: 113,7° / V: 61,5°, WiseStream II, potrójny kodek (H.265/H.264/MJPEG), WDR 120 dB, diody LED IR 30 m (98,43 ft), dzień i noc (ICR), wirtualny obszar (w"&amp;"targnięcie/wejście/wyjście), wirtualna linia (przekroczenie/kierunek), wykrywanie ruchu, manipulacja, widok na korytarz, karta SD, IP66, PoE, kolor biały.")</f>
        <v>Kamera typu bullet z serii A, 2 MP @ 30 FPS, obiektyw o stałej ogniskowej 2,8 mm, pole widzenia (FoV) H: 113,7° / V: 61,5°, WiseStream II, potrójny kodek (H.265/H.264/MJPEG), WDR 120 dB, diody LED IR 30 m (98,43 ft), dzień i noc (ICR), wirtualny obszar (wtargnięcie/wejście/wyjście), wirtualna linia (przekroczenie/kierunek), wykrywanie ruchu, manipulacja, widok na korytarz, karta SD, IP66, PoE, kolor biały.</v>
      </c>
      <c r="K286" s="43" t="s">
        <v>21</v>
      </c>
      <c r="L286" s="44">
        <v>190.0</v>
      </c>
      <c r="M286" s="8"/>
      <c r="N286" s="45" t="s">
        <v>22</v>
      </c>
      <c r="O286" s="97"/>
      <c r="P286" s="36"/>
      <c r="Q286" s="35"/>
      <c r="R286" s="68"/>
      <c r="S286" s="68"/>
      <c r="T286" s="68"/>
      <c r="U286" s="35"/>
      <c r="V286" s="35"/>
      <c r="W286" s="35"/>
      <c r="X286" s="35"/>
      <c r="Y286" s="35"/>
      <c r="Z286" s="35"/>
      <c r="AA286" s="35"/>
      <c r="AB286" s="35"/>
      <c r="AC286" s="60"/>
      <c r="AD286" s="85"/>
      <c r="AE286" s="85"/>
      <c r="AF286" s="85"/>
      <c r="AG286" s="85"/>
      <c r="AH286" s="85"/>
      <c r="AI286" s="85"/>
      <c r="AJ286" s="85"/>
      <c r="AK286" s="85"/>
      <c r="AL286" s="85"/>
      <c r="AM286" s="85"/>
      <c r="AN286" s="85"/>
      <c r="AO286" s="85"/>
      <c r="AP286" s="85"/>
    </row>
    <row r="287" ht="90.0" customHeight="1">
      <c r="A287" s="29"/>
      <c r="B287" s="38" t="s">
        <v>118</v>
      </c>
      <c r="C287" s="39" t="s">
        <v>886</v>
      </c>
      <c r="D287" s="40" t="s">
        <v>719</v>
      </c>
      <c r="E287" s="40" t="s">
        <v>593</v>
      </c>
      <c r="F287" s="40" t="s">
        <v>623</v>
      </c>
      <c r="G287" s="39" t="s">
        <v>18</v>
      </c>
      <c r="H287" s="41" t="s">
        <v>19</v>
      </c>
      <c r="I287" s="48" t="s">
        <v>887</v>
      </c>
      <c r="J287" s="42" t="str">
        <f>IFERROR(__xludf.DUMMYFUNCTION("GOOGLETRANSLATE(I287,""en"",""pl"")"),"Kamera typu bullet z serii A, 2 MP @ 30 FPS, obiektyw o stałej ogniskowej 4 mm, pole widzenia (FoV) H: 84,3° / V: 45,6° WiseStream II, potrójny kodek (H.265/H.264/MJPEG), WDR 120 dB, diody LED IR 30 m (98,43 stopy), dzień i noc (ICR), wirtualny obszar (wt"&amp;"argnięcie/wejście/wyjście), wirtualna linia (przekroczenie/kierunek), wykrywanie ruchu, manipulacja, widok na korytarz, karta SD, IP66, PoE, kolor biały.")</f>
        <v>Kamera typu bullet z serii A, 2 MP @ 30 FPS, obiektyw o stałej ogniskowej 4 mm, pole widzenia (FoV) H: 84,3° / V: 45,6° WiseStream II, potrójny kodek (H.265/H.264/MJPEG), WDR 120 dB, diody LED IR 30 m (98,43 stopy), dzień i noc (ICR), wirtualny obszar (wtargnięcie/wejście/wyjście), wirtualna linia (przekroczenie/kierunek), wykrywanie ruchu, manipulacja, widok na korytarz, karta SD, IP66, PoE, kolor biały.</v>
      </c>
      <c r="K287" s="43" t="s">
        <v>21</v>
      </c>
      <c r="L287" s="44">
        <v>190.0</v>
      </c>
      <c r="M287" s="8"/>
      <c r="N287" s="45" t="s">
        <v>22</v>
      </c>
      <c r="O287" s="97"/>
      <c r="P287" s="36"/>
      <c r="Q287" s="35"/>
      <c r="R287" s="68"/>
      <c r="S287" s="68"/>
      <c r="T287" s="68"/>
      <c r="U287" s="35"/>
      <c r="V287" s="35"/>
      <c r="W287" s="35"/>
      <c r="X287" s="35"/>
      <c r="Y287" s="35"/>
      <c r="Z287" s="35"/>
      <c r="AA287" s="35"/>
      <c r="AB287" s="35"/>
      <c r="AC287" s="60"/>
      <c r="AD287" s="85"/>
      <c r="AE287" s="85"/>
      <c r="AF287" s="85"/>
      <c r="AG287" s="85"/>
      <c r="AH287" s="85"/>
      <c r="AI287" s="85"/>
      <c r="AJ287" s="85"/>
      <c r="AK287" s="85"/>
      <c r="AL287" s="85"/>
      <c r="AM287" s="85"/>
      <c r="AN287" s="85"/>
      <c r="AO287" s="85"/>
      <c r="AP287" s="85"/>
    </row>
    <row r="288" ht="90.0" customHeight="1">
      <c r="A288" s="29"/>
      <c r="B288" s="38" t="s">
        <v>118</v>
      </c>
      <c r="C288" s="39" t="s">
        <v>888</v>
      </c>
      <c r="D288" s="40" t="s">
        <v>719</v>
      </c>
      <c r="E288" s="40" t="s">
        <v>593</v>
      </c>
      <c r="F288" s="40" t="s">
        <v>623</v>
      </c>
      <c r="G288" s="39" t="s">
        <v>18</v>
      </c>
      <c r="H288" s="41" t="s">
        <v>19</v>
      </c>
      <c r="I288" s="48" t="s">
        <v>889</v>
      </c>
      <c r="J288" s="42" t="str">
        <f>IFERROR(__xludf.DUMMYFUNCTION("GOOGLETRANSLATE(I288,""en"",""pl"")"),"Kamera typu bullet z serii A, 2 MP @30FPS, obiektyw z napędem silnikowym o zmiennej ogniskowej 3,1x (3,3~10,3 mm) (105,2°~ 30,6°), WiseStream II, potrójny kodek (H.265/H.264/MJPEG), WDR 120 dB, diody LED IR 30 m (98,43 stopy), dzień i noc (ICR), strefa wi"&amp;"rtualna (wtargnięcie/wejście/wyjście), linia wirtualna (przekroczenie/kierunek), wykrywanie ruchu, manipulacja, widok korytarza, karta SD, IP66, PoE, kolor biały.")</f>
        <v>Kamera typu bullet z serii A, 2 MP @30FPS, obiektyw z napędem silnikowym o zmiennej ogniskowej 3,1x (3,3~10,3 mm) (105,2°~ 30,6°), WiseStream II, potrójny kodek (H.265/H.264/MJPEG), WDR 120 dB, diody LED IR 30 m (98,43 stopy), dzień i noc (ICR), strefa wirtualna (wtargnięcie/wejście/wyjście), linia wirtualna (przekroczenie/kierunek), wykrywanie ruchu, manipulacja, widok korytarza, karta SD, IP66, PoE, kolor biały.</v>
      </c>
      <c r="K288" s="43" t="s">
        <v>21</v>
      </c>
      <c r="L288" s="44">
        <v>280.0</v>
      </c>
      <c r="M288" s="8"/>
      <c r="N288" s="45" t="s">
        <v>22</v>
      </c>
      <c r="O288" s="97"/>
      <c r="P288" s="36"/>
      <c r="Q288" s="35"/>
      <c r="R288" s="68"/>
      <c r="S288" s="68"/>
      <c r="T288" s="68"/>
      <c r="U288" s="35"/>
      <c r="V288" s="35"/>
      <c r="W288" s="35"/>
      <c r="X288" s="35"/>
      <c r="Y288" s="35"/>
      <c r="Z288" s="35"/>
      <c r="AA288" s="35"/>
      <c r="AB288" s="35"/>
      <c r="AC288" s="60"/>
      <c r="AD288" s="85"/>
      <c r="AE288" s="85"/>
      <c r="AF288" s="85"/>
      <c r="AG288" s="85"/>
      <c r="AH288" s="85"/>
      <c r="AI288" s="85"/>
      <c r="AJ288" s="85"/>
      <c r="AK288" s="85"/>
      <c r="AL288" s="85"/>
      <c r="AM288" s="85"/>
      <c r="AN288" s="85"/>
      <c r="AO288" s="85"/>
      <c r="AP288" s="85"/>
    </row>
    <row r="289" ht="90.0" customHeight="1">
      <c r="A289" s="29"/>
      <c r="B289" s="38" t="s">
        <v>118</v>
      </c>
      <c r="C289" s="39" t="s">
        <v>890</v>
      </c>
      <c r="D289" s="40" t="s">
        <v>830</v>
      </c>
      <c r="E289" s="40" t="s">
        <v>593</v>
      </c>
      <c r="F289" s="40" t="s">
        <v>623</v>
      </c>
      <c r="G289" s="39" t="s">
        <v>184</v>
      </c>
      <c r="H289" s="41" t="s">
        <v>19</v>
      </c>
      <c r="I289" s="48" t="s">
        <v>891</v>
      </c>
      <c r="J289" s="42" t="str">
        <f>IFERROR(__xludf.DUMMYFUNCTION("GOOGLETRANSLATE(I289,""en"",""pl"")"),"Zewnętrzna kamera kopułkowa z serii A, zabezpieczona przed wandalizmem, 2 MP @ 30 FPS, obiektyw o stałej ogniskowej 2,8 mm, pole widzenia (FoV) poziomo: 113,7°/ pionowo: 61,5°, WiseStream II, potrójny kodek (H.265/H.264/MJPEG), WDR 120 dB, diody LED podcz"&amp;"erwieni 30 m (98,43 ft), dzień i noc (ICR), strefa wirtualna (wtargnięcie/wejście/wyjście), linia wirtualna (przekroczenie/kierunek), wykrywanie ruchu, manipulacja, widok na korytarz, karta SD, IP66, IK10, PoE, kolor biały.")</f>
        <v>Zewnętrzna kamera kopułkowa z serii A, zabezpieczona przed wandalizmem, 2 MP @ 30 FPS, obiektyw o stałej ogniskowej 2,8 mm, pole widzenia (FoV) poziomo: 113,7°/ pionowo: 61,5°, WiseStream II, potrójny kodek (H.265/H.264/MJPEG), WDR 120 dB, diody LED podczerwieni 30 m (98,43 ft), dzień i noc (ICR), strefa wirtualna (wtargnięcie/wejście/wyjście), linia wirtualna (przekroczenie/kierunek), wykrywanie ruchu, manipulacja, widok na korytarz, karta SD, IP66, IK10, PoE, kolor biały.</v>
      </c>
      <c r="K289" s="43" t="s">
        <v>21</v>
      </c>
      <c r="L289" s="44">
        <v>190.0</v>
      </c>
      <c r="M289" s="8"/>
      <c r="N289" s="45" t="s">
        <v>22</v>
      </c>
      <c r="O289" s="97"/>
      <c r="P289" s="36"/>
      <c r="Q289" s="35"/>
      <c r="R289" s="68"/>
      <c r="S289" s="68"/>
      <c r="T289" s="68"/>
      <c r="U289" s="35"/>
      <c r="V289" s="35"/>
      <c r="W289" s="35"/>
      <c r="X289" s="35"/>
      <c r="Y289" s="35"/>
      <c r="Z289" s="35"/>
      <c r="AA289" s="35"/>
      <c r="AB289" s="35"/>
      <c r="AC289" s="60"/>
      <c r="AD289" s="85"/>
      <c r="AE289" s="85"/>
      <c r="AF289" s="85"/>
      <c r="AG289" s="85"/>
      <c r="AH289" s="85"/>
      <c r="AI289" s="85"/>
      <c r="AJ289" s="85"/>
      <c r="AK289" s="85"/>
      <c r="AL289" s="85"/>
      <c r="AM289" s="85"/>
      <c r="AN289" s="85"/>
      <c r="AO289" s="85"/>
      <c r="AP289" s="85"/>
    </row>
    <row r="290" ht="90.0" customHeight="1">
      <c r="A290" s="29"/>
      <c r="B290" s="38" t="s">
        <v>118</v>
      </c>
      <c r="C290" s="39" t="s">
        <v>892</v>
      </c>
      <c r="D290" s="40" t="s">
        <v>830</v>
      </c>
      <c r="E290" s="40" t="s">
        <v>593</v>
      </c>
      <c r="F290" s="40" t="s">
        <v>623</v>
      </c>
      <c r="G290" s="39" t="s">
        <v>184</v>
      </c>
      <c r="H290" s="41" t="s">
        <v>19</v>
      </c>
      <c r="I290" s="48" t="s">
        <v>893</v>
      </c>
      <c r="J290" s="42" t="str">
        <f>IFERROR(__xludf.DUMMYFUNCTION("GOOGLETRANSLATE(I290,""en"",""pl"")"),"Zewnętrzna kamera kopułkowa mini-kamera antywandalowa z serii A, 2 MP @ 30 FPS, obiektyw o stałej ogniskowej 3,6 mm, FoV H: 94,8°/ V: 49,3°, WiseStream II, potrójny kodek (H.265/H.264/MJPEG), WDR 120 dB, diody LED IR 15 m (49,21 ft), dzień i noc (ICR), wi"&amp;"rtualny obszar (wtargnięcie/wejście/wyjście), wirtualna linia (przekroczenie/kierunek), wykrywanie ruchu, manipulacja, widok na korytarz, karta SD, IP66, PoE, kolor biały.")</f>
        <v>Zewnętrzna kamera kopułkowa mini-kamera antywandalowa z serii A, 2 MP @ 30 FPS, obiektyw o stałej ogniskowej 3,6 mm, FoV H: 94,8°/ V: 49,3°, WiseStream II, potrójny kodek (H.265/H.264/MJPEG), WDR 120 dB, diody LED IR 15 m (49,21 ft), dzień i noc (ICR), wirtualny obszar (wtargnięcie/wejście/wyjście), wirtualna linia (przekroczenie/kierunek), wykrywanie ruchu, manipulacja, widok na korytarz, karta SD, IP66, PoE, kolor biały.</v>
      </c>
      <c r="K290" s="43" t="s">
        <v>21</v>
      </c>
      <c r="L290" s="44">
        <v>260.0</v>
      </c>
      <c r="M290" s="8"/>
      <c r="N290" s="45" t="s">
        <v>22</v>
      </c>
      <c r="O290" s="97"/>
      <c r="P290" s="36"/>
      <c r="Q290" s="35"/>
      <c r="R290" s="68"/>
      <c r="S290" s="68"/>
      <c r="T290" s="68"/>
      <c r="U290" s="35"/>
      <c r="V290" s="35"/>
      <c r="W290" s="35"/>
      <c r="X290" s="35"/>
      <c r="Y290" s="35"/>
      <c r="Z290" s="35"/>
      <c r="AA290" s="35"/>
      <c r="AB290" s="35"/>
      <c r="AC290" s="60"/>
      <c r="AD290" s="85"/>
      <c r="AE290" s="85"/>
      <c r="AF290" s="85"/>
      <c r="AG290" s="85"/>
      <c r="AH290" s="85"/>
      <c r="AI290" s="85"/>
      <c r="AJ290" s="85"/>
      <c r="AK290" s="85"/>
      <c r="AL290" s="85"/>
      <c r="AM290" s="85"/>
      <c r="AN290" s="85"/>
      <c r="AO290" s="85"/>
      <c r="AP290" s="85"/>
    </row>
    <row r="291" ht="90.0" customHeight="1">
      <c r="A291" s="29"/>
      <c r="B291" s="38" t="s">
        <v>118</v>
      </c>
      <c r="C291" s="39" t="s">
        <v>894</v>
      </c>
      <c r="D291" s="40" t="s">
        <v>830</v>
      </c>
      <c r="E291" s="40" t="s">
        <v>593</v>
      </c>
      <c r="F291" s="40" t="s">
        <v>623</v>
      </c>
      <c r="G291" s="39" t="s">
        <v>184</v>
      </c>
      <c r="H291" s="41" t="s">
        <v>19</v>
      </c>
      <c r="I291" s="48" t="s">
        <v>895</v>
      </c>
      <c r="J291" s="42" t="str">
        <f>IFERROR(__xludf.DUMMYFUNCTION("GOOGLETRANSLATE(I291,""en"",""pl"")"),"Zewnętrzna kamera kopułkowa z serii A, zabezpieczona przed wandalizmem, 2 MP @ 30 kl./s, obiektyw z regulacją ogniskowej 3,1x (3,3~10,3 mm) (105,2°~ 30,6°), WiseStream II, potrójny kodek (H.265/H.264/MJPEG), WDR 120 dB, diody LED IR 30 m (98,43 stopy), dz"&amp;"ień i noc (ICR), strefa wirtualna (wtargnięcie/wejście/wyjście), linia wirtualna (przekroczenie/kierunek), wykrywanie ruchu, manipulacja, widok na korytarz, karta SD, IP66, IK10, PoE, kolor biały.")</f>
        <v>Zewnętrzna kamera kopułkowa z serii A, zabezpieczona przed wandalizmem, 2 MP @ 30 kl./s, obiektyw z regulacją ogniskowej 3,1x (3,3~10,3 mm) (105,2°~ 30,6°), WiseStream II, potrójny kodek (H.265/H.264/MJPEG), WDR 120 dB, diody LED IR 30 m (98,43 stopy), dzień i noc (ICR), strefa wirtualna (wtargnięcie/wejście/wyjście), linia wirtualna (przekroczenie/kierunek), wykrywanie ruchu, manipulacja, widok na korytarz, karta SD, IP66, IK10, PoE, kolor biały.</v>
      </c>
      <c r="K291" s="43" t="s">
        <v>21</v>
      </c>
      <c r="L291" s="44">
        <v>280.0</v>
      </c>
      <c r="M291" s="8"/>
      <c r="N291" s="45" t="s">
        <v>22</v>
      </c>
      <c r="O291" s="97"/>
      <c r="P291" s="36"/>
      <c r="Q291" s="35"/>
      <c r="R291" s="68"/>
      <c r="S291" s="68"/>
      <c r="T291" s="68"/>
      <c r="U291" s="35"/>
      <c r="V291" s="35"/>
      <c r="W291" s="35"/>
      <c r="X291" s="35"/>
      <c r="Y291" s="35"/>
      <c r="Z291" s="35"/>
      <c r="AA291" s="35"/>
      <c r="AB291" s="35"/>
      <c r="AC291" s="60"/>
      <c r="AD291" s="85"/>
      <c r="AE291" s="85"/>
      <c r="AF291" s="85"/>
      <c r="AG291" s="85"/>
      <c r="AH291" s="85"/>
      <c r="AI291" s="85"/>
      <c r="AJ291" s="85"/>
      <c r="AK291" s="85"/>
      <c r="AL291" s="85"/>
      <c r="AM291" s="85"/>
      <c r="AN291" s="85"/>
      <c r="AO291" s="85"/>
      <c r="AP291" s="85"/>
    </row>
    <row r="292" ht="90.0" customHeight="1">
      <c r="A292" s="29"/>
      <c r="B292" s="38" t="s">
        <v>118</v>
      </c>
      <c r="C292" s="39" t="s">
        <v>896</v>
      </c>
      <c r="D292" s="40" t="s">
        <v>719</v>
      </c>
      <c r="E292" s="40" t="s">
        <v>897</v>
      </c>
      <c r="F292" s="40" t="s">
        <v>623</v>
      </c>
      <c r="G292" s="39" t="s">
        <v>18</v>
      </c>
      <c r="H292" s="41" t="s">
        <v>898</v>
      </c>
      <c r="I292" s="48" t="s">
        <v>899</v>
      </c>
      <c r="J292" s="42" t="str">
        <f>IFERROR(__xludf.DUMMYFUNCTION("GOOGLETRANSLATE(I292,""en"",""pl"")"),"Kamera zewnętrzna z serii L z kamerą IR i kamerą typu bullet, chroniącą przed wandalizmem, 2 MP @30 kl./s, obiektyw zmiennoogniskowy 3,2–10,0 mm (3,1x) (101,6°–31,3°), H.264/MJPEG z WiseStream II, strumieniowanie wielokrotne, WDR 120 dB, automatyczny tryb"&amp;" dzień/noc (ICR), widoczność podczerwieni 30 m, wykrywanie ruchu, manipulacja, widok na korytarz, gniazdo microSD/SDHC, obsługa LDC (korekcja zniekształceń obiektywu), IP66, PoE")</f>
        <v>Kamera zewnętrzna z serii L z kamerą IR i kamerą typu bullet, chroniącą przed wandalizmem, 2 MP @30 kl./s, obiektyw zmiennoogniskowy 3,2–10,0 mm (3,1x) (101,6°–31,3°), H.264/MJPEG z WiseStream II, strumieniowanie wielokrotne, WDR 120 dB, automatyczny tryb dzień/noc (ICR), widoczność podczerwieni 30 m, wykrywanie ruchu, manipulacja, widok na korytarz, gniazdo microSD/SDHC, obsługa LDC (korekcja zniekształceń obiektywu), IP66, PoE</v>
      </c>
      <c r="K292" s="43" t="s">
        <v>21</v>
      </c>
      <c r="L292" s="44">
        <v>355.0</v>
      </c>
      <c r="M292" s="8"/>
      <c r="N292" s="45" t="s">
        <v>22</v>
      </c>
      <c r="O292" s="97"/>
      <c r="P292" s="36"/>
      <c r="Q292" s="35"/>
      <c r="R292" s="68"/>
      <c r="S292" s="68"/>
      <c r="T292" s="68"/>
      <c r="U292" s="35"/>
      <c r="V292" s="35"/>
      <c r="W292" s="35"/>
      <c r="X292" s="35"/>
      <c r="Y292" s="35"/>
      <c r="Z292" s="35"/>
      <c r="AA292" s="35"/>
      <c r="AB292" s="35"/>
      <c r="AC292" s="60"/>
      <c r="AD292" s="85"/>
      <c r="AE292" s="85"/>
      <c r="AF292" s="85"/>
      <c r="AG292" s="85"/>
      <c r="AH292" s="85"/>
      <c r="AI292" s="85"/>
      <c r="AJ292" s="85"/>
      <c r="AK292" s="85"/>
      <c r="AL292" s="85"/>
      <c r="AM292" s="85"/>
      <c r="AN292" s="85"/>
      <c r="AO292" s="85"/>
      <c r="AP292" s="85"/>
    </row>
    <row r="293" ht="30.0" customHeight="1">
      <c r="A293" s="29"/>
      <c r="B293" s="93" t="s">
        <v>900</v>
      </c>
      <c r="C293" s="113"/>
      <c r="D293" s="113"/>
      <c r="E293" s="113"/>
      <c r="F293" s="113"/>
      <c r="G293" s="113"/>
      <c r="H293" s="113"/>
      <c r="I293" s="113"/>
      <c r="J293" s="42" t="str">
        <f>IFERROR(__xludf.DUMMYFUNCTION("GOOGLETRANSLATE(I293,""en"",""pl"")"),"#VALUE!")</f>
        <v>#VALUE!</v>
      </c>
      <c r="K293" s="94"/>
      <c r="L293" s="114"/>
      <c r="M293" s="115"/>
      <c r="N293" s="96"/>
      <c r="O293" s="83"/>
      <c r="P293" s="36"/>
      <c r="Q293" s="35"/>
      <c r="R293" s="68"/>
      <c r="S293" s="68"/>
      <c r="T293" s="68"/>
      <c r="U293" s="35"/>
      <c r="V293" s="35"/>
      <c r="W293" s="35"/>
      <c r="X293" s="35"/>
      <c r="Y293" s="35"/>
      <c r="Z293" s="35"/>
      <c r="AA293" s="35"/>
      <c r="AB293" s="35"/>
      <c r="AC293" s="60"/>
      <c r="AD293" s="85"/>
      <c r="AE293" s="85"/>
      <c r="AF293" s="85"/>
      <c r="AG293" s="85"/>
      <c r="AH293" s="85"/>
      <c r="AI293" s="85"/>
      <c r="AJ293" s="85"/>
      <c r="AK293" s="85"/>
      <c r="AL293" s="85"/>
      <c r="AM293" s="85"/>
      <c r="AN293" s="85"/>
      <c r="AO293" s="85"/>
      <c r="AP293" s="85"/>
    </row>
    <row r="294" ht="147.0" customHeight="1">
      <c r="A294" s="29"/>
      <c r="B294" s="38" t="s">
        <v>118</v>
      </c>
      <c r="C294" s="39" t="s">
        <v>901</v>
      </c>
      <c r="D294" s="40" t="s">
        <v>902</v>
      </c>
      <c r="E294" s="40" t="s">
        <v>16</v>
      </c>
      <c r="F294" s="40" t="s">
        <v>414</v>
      </c>
      <c r="G294" s="39" t="s">
        <v>18</v>
      </c>
      <c r="H294" s="41" t="s">
        <v>19</v>
      </c>
      <c r="I294" s="48" t="s">
        <v>903</v>
      </c>
      <c r="J294" s="42" t="str">
        <f>IFERROR(__xludf.DUMMYFUNCTION("GOOGLETRANSLATE(I294,""en"",""pl"")"),"Kompaktowa kamera przeciwwybuchowa AI 5MP ze stali nierdzewnej SUS316L o rozdzielczości do 30 kl./s przy 5 MP z przetwornikiem CMOS 1/2,8"" 5 MP, obiektywem zmiennoogniskowym z napędem silnikowym 3,2x, przepustem kablowym 1/2"", kodekami H.264/H.265 i MJP"&amp;"EG, redukcją szumów cyfrowych SSNRⅤ, WDR 120 dB, elektroniczną migawką min. ~ maks. / anty-migotanie (1/5~1/12 000 s), obrót wideo, lustro, widok korytarza (90'/270'), typ obiektu sklasyfikowanego przez analitykę: Osoba/Pojazd, atrybuty: pojazd, obsługa w"&amp;"ykrywania ujęcia, zdarzenia analityczne oparte na silniku AI, wykrywanie ruchu, wykrywanie obiektów, wirtualna linia (przekroczenie/kierunek), wirtualny obszar (włóczęgostwo/wtargnięcie/wejście/wyjście) zdarzenia analityczne - rozmycie, Business Intellige"&amp;"nce oparte na silniku AI: Ludzie/Pojazd Liczenie, Zarządzanie kolejką, Mapa cieplna, WiseStream III (na podstawie silnika AI), Unicast (20 użytkowników) / Multicast (do 5 profili), Profil ONVIF S/T/M, SUNAPI (API HTTP), Temperatura pracy / Wilgotność -30°"&amp;"C~+55°C(-22°F ~ +131°F) / 0~95% RH (bez kondensacji), Certyfikacja CE, KC, IP66, IK10,ATEX, II 2 G Ex db IIC T6 Gb II 2 D Ex tb IIIC T80°C Db, IECEx, Ex db IIC T6 Gb, Ex tb IIIC T80°C Db")</f>
        <v>Kompaktowa kamera przeciwwybuchowa AI 5MP ze stali nierdzewnej SUS316L o rozdzielczości do 30 kl./s przy 5 MP z przetwornikiem CMOS 1/2,8" 5 MP, obiektywem zmiennoogniskowym z napędem silnikowym 3,2x, przepustem kablowym 1/2", kodekami H.264/H.265 i MJPEG, redukcją szumów cyfrowych SSNRⅤ, WDR 120 dB, elektroniczną migawką min. ~ maks. / anty-migotanie (1/5~1/12 000 s), obrót wideo, lustro, widok korytarza (90'/270'), typ obiektu sklasyfikowanego przez analitykę: Osoba/Pojazd, atrybuty: pojazd, obsługa wykrywania ujęcia, zdarzenia analityczne oparte na silniku AI, wykrywanie ruchu, wykrywanie obiektów, wirtualna linia (przekroczenie/kierunek), wirtualny obszar (włóczęgostwo/wtargnięcie/wejście/wyjście) zdarzenia analityczne - rozmycie, Business Intelligence oparte na silniku AI: Ludzie/Pojazd Liczenie, Zarządzanie kolejką, Mapa cieplna, WiseStream III (na podstawie silnika AI), Unicast (20 użytkowników) / Multicast (do 5 profili), Profil ONVIF S/T/M, SUNAPI (API HTTP), Temperatura pracy / Wilgotność -30°C~+55°C(-22°F ~ +131°F) / 0~95% RH (bez kondensacji), Certyfikacja CE, KC, IP66, IK10,ATEX, II 2 G Ex db IIC T6 Gb II 2 D Ex tb IIIC T80°C Db, IECEx, Ex db IIC T6 Gb, Ex tb IIIC T80°C Db</v>
      </c>
      <c r="K294" s="43" t="s">
        <v>21</v>
      </c>
      <c r="L294" s="44">
        <v>4698.0</v>
      </c>
      <c r="M294" s="8"/>
      <c r="N294" s="45" t="s">
        <v>22</v>
      </c>
      <c r="O294" s="97"/>
      <c r="P294" s="35"/>
      <c r="Q294" s="35"/>
      <c r="R294" s="68"/>
      <c r="S294" s="68"/>
      <c r="T294" s="68"/>
      <c r="U294" s="35"/>
      <c r="V294" s="35"/>
      <c r="W294" s="35"/>
      <c r="X294" s="35"/>
      <c r="Y294" s="35"/>
      <c r="Z294" s="35"/>
      <c r="AA294" s="35"/>
      <c r="AB294" s="35"/>
      <c r="AC294" s="101"/>
      <c r="AD294" s="98"/>
      <c r="AE294" s="98"/>
      <c r="AF294" s="98"/>
      <c r="AG294" s="98"/>
      <c r="AH294" s="98"/>
      <c r="AI294" s="98"/>
      <c r="AJ294" s="98"/>
      <c r="AK294" s="98"/>
      <c r="AL294" s="98"/>
      <c r="AM294" s="98"/>
      <c r="AN294" s="98"/>
      <c r="AO294" s="98"/>
      <c r="AP294" s="98"/>
    </row>
    <row r="295" ht="84.75" customHeight="1">
      <c r="A295" s="29"/>
      <c r="B295" s="38" t="s">
        <v>118</v>
      </c>
      <c r="C295" s="39" t="s">
        <v>904</v>
      </c>
      <c r="D295" s="40" t="s">
        <v>905</v>
      </c>
      <c r="E295" s="40" t="s">
        <v>16</v>
      </c>
      <c r="F295" s="40" t="s">
        <v>623</v>
      </c>
      <c r="G295" s="39" t="s">
        <v>18</v>
      </c>
      <c r="H295" s="41" t="s">
        <v>170</v>
      </c>
      <c r="I295" s="48" t="s">
        <v>906</v>
      </c>
      <c r="J295" s="42" t="str">
        <f>IFERROR(__xludf.DUMMYFUNCTION("GOOGLETRANSLATE(I295,""en"",""pl"")"),"Kamera typu bullet ze stali nierdzewnej 316L, odporna na wybuchy, z wbudowaną wycieraczką i podczerwienią, zasięg 200 m, 2 MP przy 60 kl./s, obiektyw z zoomem 4,44 ~ 142,6 mm (32X), WDR 120 dB, automatyczny tryb dzień/noc (ICR), WiseStream II, nieogranicz"&amp;"ony obrót o 360° / pochylenie 180°, 300 ustawień wstępnych, obrót/grupa/trasa/automatyczne uruchamianie, wykrywanie braku ostrości, wykrywanie kierunku, wykrywanie mgły, wykrywanie twarzy, pojawianie się/znikanie, wejście/wyjście, włóczęgostwo, manipulacj"&amp;"a, wirtualna linia, wykrywanie dźwięku, cyfrowa stabilizacja obrazu, ONVIF S/G/T, 1 wejście/1 wyjście, 24 VAC, IP67, IK10, IECEx, ATEX, KCs, KC, CE")</f>
        <v>Kamera typu bullet ze stali nierdzewnej 316L, odporna na wybuchy, z wbudowaną wycieraczką i podczerwienią, zasięg 200 m, 2 MP przy 60 kl./s, obiektyw z zoomem 4,44 ~ 142,6 mm (32X), WDR 120 dB, automatyczny tryb dzień/noc (ICR), WiseStream II, nieograniczony obrót o 360° / pochylenie 180°, 300 ustawień wstępnych, obrót/grupa/trasa/automatyczne uruchamianie, wykrywanie braku ostrości, wykrywanie kierunku, wykrywanie mgły, wykrywanie twarzy, pojawianie się/znikanie, wejście/wyjście, włóczęgostwo, manipulacja, wirtualna linia, wykrywanie dźwięku, cyfrowa stabilizacja obrazu, ONVIF S/G/T, 1 wejście/1 wyjście, 24 VAC, IP67, IK10, IECEx, ATEX, KCs, KC, CE</v>
      </c>
      <c r="K295" s="43" t="s">
        <v>21</v>
      </c>
      <c r="L295" s="44">
        <v>26297.0</v>
      </c>
      <c r="M295" s="8"/>
      <c r="N295" s="45" t="s">
        <v>22</v>
      </c>
      <c r="O295" s="97"/>
      <c r="P295" s="36"/>
      <c r="Q295" s="35"/>
      <c r="R295" s="68"/>
      <c r="S295" s="68"/>
      <c r="T295" s="68"/>
      <c r="U295" s="35"/>
      <c r="V295" s="35"/>
      <c r="W295" s="35"/>
      <c r="X295" s="35"/>
      <c r="Y295" s="35"/>
      <c r="Z295" s="35"/>
      <c r="AA295" s="35"/>
      <c r="AB295" s="35"/>
      <c r="AC295" s="60"/>
      <c r="AD295" s="85"/>
      <c r="AE295" s="85"/>
      <c r="AF295" s="85"/>
      <c r="AG295" s="85"/>
      <c r="AH295" s="85"/>
      <c r="AI295" s="85"/>
      <c r="AJ295" s="85"/>
      <c r="AK295" s="85"/>
      <c r="AL295" s="85"/>
      <c r="AM295" s="85"/>
      <c r="AN295" s="85"/>
      <c r="AO295" s="85"/>
      <c r="AP295" s="85"/>
    </row>
    <row r="296" ht="84.75" customHeight="1">
      <c r="A296" s="29"/>
      <c r="B296" s="116" t="s">
        <v>118</v>
      </c>
      <c r="C296" s="117" t="s">
        <v>907</v>
      </c>
      <c r="D296" s="118" t="s">
        <v>908</v>
      </c>
      <c r="E296" s="118" t="s">
        <v>16</v>
      </c>
      <c r="F296" s="118" t="s">
        <v>623</v>
      </c>
      <c r="G296" s="117" t="s">
        <v>18</v>
      </c>
      <c r="H296" s="41" t="s">
        <v>170</v>
      </c>
      <c r="I296" s="121" t="s">
        <v>909</v>
      </c>
      <c r="J296" s="42" t="str">
        <f>IFERROR(__xludf.DUMMYFUNCTION("GOOGLETRANSLATE(I296,""en"",""pl"")"),"Kamera typu bullet ze stali nierdzewnej 316L odporna na wybuchy, z pozycjonowaniem i wbudowaną wycieraczką, 360° nieograniczony obrót / 180° pochylenie, 2 MP przy 60 kl./s, obiektyw z zoomem 4,44 ~ 142,6 mm (32X), WDR 120 dB, automatyczny tryb dzień/noc ("&amp;"ICR), WiseStream II, 300 ustawień wstępnych, obrót/grupa/trasa/automatyczne uruchamianie, wykrywanie braku ostrości, wykrywanie kierunkowe, wykrywanie mgły, wykrywanie twarzy, pojawianie się/znikanie, wejście/wyjście, włóczęgostwo, manipulacja, wirtualna "&amp;"linia, wykrywanie dźwięku, cyfrowa stabilizacja obrazu, ONVIF S/G/T, 1 wejście/1 wyjście, 24 V AC, IP67, IK10, IECEx, ATEX, KCs, KC, CE")</f>
        <v>Kamera typu bullet ze stali nierdzewnej 316L odporna na wybuchy, z pozycjonowaniem i wbudowaną wycieraczką, 360° nieograniczony obrót / 180° pochylenie, 2 MP przy 60 kl./s, obiektyw z zoomem 4,44 ~ 142,6 mm (32X), WDR 120 dB, automatyczny tryb dzień/noc (ICR), WiseStream II, 300 ustawień wstępnych, obrót/grupa/trasa/automatyczne uruchamianie, wykrywanie braku ostrości, wykrywanie kierunkowe, wykrywanie mgły, wykrywanie twarzy, pojawianie się/znikanie, wejście/wyjście, włóczęgostwo, manipulacja, wirtualna linia, wykrywanie dźwięku, cyfrowa stabilizacja obrazu, ONVIF S/G/T, 1 wejście/1 wyjście, 24 V AC, IP67, IK10, IECEx, ATEX, KCs, KC, CE</v>
      </c>
      <c r="K296" s="120" t="s">
        <v>21</v>
      </c>
      <c r="L296" s="44">
        <v>22223.0</v>
      </c>
      <c r="M296" s="8"/>
      <c r="N296" s="45" t="s">
        <v>22</v>
      </c>
      <c r="O296" s="97"/>
      <c r="P296" s="36"/>
      <c r="Q296" s="35"/>
      <c r="R296" s="68"/>
      <c r="S296" s="68"/>
      <c r="T296" s="68"/>
      <c r="U296" s="35"/>
      <c r="V296" s="35"/>
      <c r="W296" s="35"/>
      <c r="X296" s="35"/>
      <c r="Y296" s="35"/>
      <c r="Z296" s="35"/>
      <c r="AA296" s="35"/>
      <c r="AB296" s="35"/>
      <c r="AC296" s="60"/>
      <c r="AD296" s="85"/>
      <c r="AE296" s="85"/>
      <c r="AF296" s="85"/>
      <c r="AG296" s="85"/>
      <c r="AH296" s="85"/>
      <c r="AI296" s="85"/>
      <c r="AJ296" s="85"/>
      <c r="AK296" s="85"/>
      <c r="AL296" s="85"/>
      <c r="AM296" s="85"/>
      <c r="AN296" s="85"/>
      <c r="AO296" s="85"/>
      <c r="AP296" s="85"/>
    </row>
    <row r="297" ht="84.75" customHeight="1">
      <c r="A297" s="29"/>
      <c r="B297" s="38" t="s">
        <v>118</v>
      </c>
      <c r="C297" s="39" t="s">
        <v>910</v>
      </c>
      <c r="D297" s="40" t="s">
        <v>911</v>
      </c>
      <c r="E297" s="40" t="s">
        <v>16</v>
      </c>
      <c r="F297" s="40" t="s">
        <v>623</v>
      </c>
      <c r="G297" s="39" t="s">
        <v>18</v>
      </c>
      <c r="H297" s="41" t="s">
        <v>170</v>
      </c>
      <c r="I297" s="48" t="s">
        <v>912</v>
      </c>
      <c r="J297" s="42" t="str">
        <f>IFERROR(__xludf.DUMMYFUNCTION("GOOGLETRANSLATE(I297,""en"",""pl"")"),"Kamera typu bullet ze stali nierdzewnej 316L, odporna na wybuchy, z wbudowaną wycieraczką i podczerwienią, zasięg 70 m, 2 MP przy 60 kl./s, obiektyw z zoomem 4,44 ~ 142,6 mm (32X), WDR 120 dB, automatyczny tryb dzień/noc (ICR), WiseStream II, wykrywanie b"&amp;"raku ostrości, wykrywanie kierunkowe, wykrywanie mgły, wykrywanie twarzy, pojawianie się/znikanie, wejście/wyjście, włóczęgostwo, manipulacja, wirtualna linia, wykrywanie dźwięku, cyfrowa stabilizacja obrazu, ONVIF S/G/T, 1 wejście/1 wyjście, 24 V AC, IP6"&amp;"7, IK10, IECEx, ATEX, KCs, KC, CE")</f>
        <v>Kamera typu bullet ze stali nierdzewnej 316L, odporna na wybuchy, z wbudowaną wycieraczką i podczerwienią, zasięg 70 m, 2 MP przy 60 kl./s, obiektyw z zoomem 4,44 ~ 142,6 mm (32X), WDR 120 dB, automatyczny tryb dzień/noc (ICR), WiseStream II, wykrywanie braku ostrości, wykrywanie kierunkowe, wykrywanie mgły, wykrywanie twarzy, pojawianie się/znikanie, wejście/wyjście, włóczęgostwo, manipulacja, wirtualna linia, wykrywanie dźwięku, cyfrowa stabilizacja obrazu, ONVIF S/G/T, 1 wejście/1 wyjście, 24 V AC, IP67, IK10, IECEx, ATEX, KCs, KC, CE</v>
      </c>
      <c r="K297" s="43" t="s">
        <v>21</v>
      </c>
      <c r="L297" s="44">
        <v>10910.0</v>
      </c>
      <c r="M297" s="8"/>
      <c r="N297" s="45" t="s">
        <v>22</v>
      </c>
      <c r="O297" s="97"/>
      <c r="P297" s="36"/>
      <c r="Q297" s="35"/>
      <c r="R297" s="68"/>
      <c r="S297" s="68"/>
      <c r="T297" s="68"/>
      <c r="U297" s="35"/>
      <c r="V297" s="35"/>
      <c r="W297" s="35"/>
      <c r="X297" s="35"/>
      <c r="Y297" s="35"/>
      <c r="Z297" s="35"/>
      <c r="AA297" s="35"/>
      <c r="AB297" s="35"/>
      <c r="AC297" s="60"/>
      <c r="AD297" s="85"/>
      <c r="AE297" s="85"/>
      <c r="AF297" s="85"/>
      <c r="AG297" s="85"/>
      <c r="AH297" s="85"/>
      <c r="AI297" s="85"/>
      <c r="AJ297" s="85"/>
      <c r="AK297" s="85"/>
      <c r="AL297" s="85"/>
      <c r="AM297" s="85"/>
      <c r="AN297" s="85"/>
      <c r="AO297" s="85"/>
      <c r="AP297" s="85"/>
    </row>
    <row r="298" ht="84.75" customHeight="1">
      <c r="A298" s="29"/>
      <c r="B298" s="116" t="s">
        <v>118</v>
      </c>
      <c r="C298" s="117" t="s">
        <v>913</v>
      </c>
      <c r="D298" s="118" t="s">
        <v>908</v>
      </c>
      <c r="E298" s="118" t="s">
        <v>16</v>
      </c>
      <c r="F298" s="118" t="s">
        <v>623</v>
      </c>
      <c r="G298" s="117" t="s">
        <v>18</v>
      </c>
      <c r="H298" s="41" t="s">
        <v>170</v>
      </c>
      <c r="I298" s="121" t="s">
        <v>914</v>
      </c>
      <c r="J298" s="42" t="str">
        <f>IFERROR(__xludf.DUMMYFUNCTION("GOOGLETRANSLATE(I298,""en"",""pl"")"),"Kamera typu bullet ze stali nierdzewnej 316L, odporna na wybuchy, z pozycjonowaniem i wbudowaną wycieraczką, 360 stopni obrotu bez końca, 2 MP przy 60 kl./s, obiektyw z zoomem 4,44 ~ 142,6 mm (32X), WDR 120 dB, automatyczny tryb dzień/noc (ICR), WiseStrea"&amp;"m II, wykrywanie braku ostrości, wykrywanie kierunkowe, wykrywanie mgły, wykrywanie twarzy, pojawianie się/znikanie, wejście/wyjście, włóczęgostwo, manipulacja, wirtualna linia, wykrywanie dźwięku, cyfrowa stabilizacja obrazu, ONVIF S/G/T, 1 wejście/1 wyj"&amp;"ście, 24 V AC, IP67, IK10, IECEx, ATEX, KCs, KC, CE")</f>
        <v>Kamera typu bullet ze stali nierdzewnej 316L, odporna na wybuchy, z pozycjonowaniem i wbudowaną wycieraczką, 360 stopni obrotu bez końca, 2 MP przy 60 kl./s, obiektyw z zoomem 4,44 ~ 142,6 mm (32X), WDR 120 dB, automatyczny tryb dzień/noc (ICR), WiseStream II, wykrywanie braku ostrości, wykrywanie kierunkowe, wykrywanie mgły, wykrywanie twarzy, pojawianie się/znikanie, wejście/wyjście, włóczęgostwo, manipulacja, wirtualna linia, wykrywanie dźwięku, cyfrowa stabilizacja obrazu, ONVIF S/G/T, 1 wejście/1 wyjście, 24 V AC, IP67, IK10, IECEx, ATEX, KCs, KC, CE</v>
      </c>
      <c r="K298" s="120" t="s">
        <v>21</v>
      </c>
      <c r="L298" s="44">
        <v>25702.0</v>
      </c>
      <c r="M298" s="8"/>
      <c r="N298" s="45" t="s">
        <v>22</v>
      </c>
      <c r="O298" s="97"/>
      <c r="P298" s="36"/>
      <c r="Q298" s="35"/>
      <c r="R298" s="68"/>
      <c r="S298" s="68"/>
      <c r="T298" s="68"/>
      <c r="U298" s="35"/>
      <c r="V298" s="35"/>
      <c r="W298" s="35"/>
      <c r="X298" s="35"/>
      <c r="Y298" s="35"/>
      <c r="Z298" s="35"/>
      <c r="AA298" s="35"/>
      <c r="AB298" s="35"/>
      <c r="AC298" s="60"/>
      <c r="AD298" s="85"/>
      <c r="AE298" s="85"/>
      <c r="AF298" s="85"/>
      <c r="AG298" s="85"/>
      <c r="AH298" s="85"/>
      <c r="AI298" s="85"/>
      <c r="AJ298" s="85"/>
      <c r="AK298" s="85"/>
      <c r="AL298" s="85"/>
      <c r="AM298" s="85"/>
      <c r="AN298" s="85"/>
      <c r="AO298" s="85"/>
      <c r="AP298" s="85"/>
    </row>
    <row r="299" ht="84.75" customHeight="1">
      <c r="A299" s="29"/>
      <c r="B299" s="38" t="s">
        <v>118</v>
      </c>
      <c r="C299" s="39" t="s">
        <v>915</v>
      </c>
      <c r="D299" s="40" t="s">
        <v>916</v>
      </c>
      <c r="E299" s="40" t="s">
        <v>16</v>
      </c>
      <c r="F299" s="40" t="s">
        <v>623</v>
      </c>
      <c r="G299" s="39" t="s">
        <v>18</v>
      </c>
      <c r="H299" s="41" t="s">
        <v>170</v>
      </c>
      <c r="I299" s="48" t="s">
        <v>917</v>
      </c>
      <c r="J299" s="42" t="str">
        <f>IFERROR(__xludf.DUMMYFUNCTION("GOOGLETRANSLATE(I299,""en"",""pl"")"),"Kamera typu bullet ze stali nierdzewnej 316L, odporna na wybuchy, z pozycjonowaniem, wbudowaną wycieraczką i podczerwienią, zasięg 200 m, 360°, 2 MP przy 60 kl./s, obiektyw z zoomem 4,44 ~ 142,6 mm (32X), WDR 120 dB, automatyczny tryb dzień/noc (ICR), Wis"&amp;"eStream II, wykrywanie braku ostrości, wykrywanie kierunkowe, wykrywanie mgły, wykrywanie twarzy, pojawianie się/znikanie, wejście/wyjście, włóczęgostwo, manipulacja, wirtualna linia, wykrywanie dźwięku, cyfrowa stabilizacja obrazu, ONVIF S/G/T, 1 wejście"&amp;"/1 wyjście, 24 V AC, IP67, IK10, IECEx, ATEX, KCs, KC, CE")</f>
        <v>Kamera typu bullet ze stali nierdzewnej 316L, odporna na wybuchy, z pozycjonowaniem, wbudowaną wycieraczką i podczerwienią, zasięg 200 m, 360°, 2 MP przy 60 kl./s, obiektyw z zoomem 4,44 ~ 142,6 mm (32X), WDR 120 dB, automatyczny tryb dzień/noc (ICR), WiseStream II, wykrywanie braku ostrości, wykrywanie kierunkowe, wykrywanie mgły, wykrywanie twarzy, pojawianie się/znikanie, wejście/wyjście, włóczęgostwo, manipulacja, wirtualna linia, wykrywanie dźwięku, cyfrowa stabilizacja obrazu, ONVIF S/G/T, 1 wejście/1 wyjście, 24 V AC, IP67, IK10, IECEx, ATEX, KCs, KC, CE</v>
      </c>
      <c r="K299" s="43" t="s">
        <v>21</v>
      </c>
      <c r="L299" s="44">
        <v>30780.0</v>
      </c>
      <c r="M299" s="8"/>
      <c r="N299" s="45" t="s">
        <v>22</v>
      </c>
      <c r="O299" s="97"/>
      <c r="P299" s="36"/>
      <c r="Q299" s="35"/>
      <c r="R299" s="68"/>
      <c r="S299" s="68"/>
      <c r="T299" s="68"/>
      <c r="U299" s="35"/>
      <c r="V299" s="35"/>
      <c r="W299" s="35"/>
      <c r="X299" s="35"/>
      <c r="Y299" s="35"/>
      <c r="Z299" s="35"/>
      <c r="AA299" s="35"/>
      <c r="AB299" s="35"/>
      <c r="AC299" s="60"/>
      <c r="AD299" s="85"/>
      <c r="AE299" s="85"/>
      <c r="AF299" s="85"/>
      <c r="AG299" s="85"/>
      <c r="AH299" s="85"/>
      <c r="AI299" s="85"/>
      <c r="AJ299" s="85"/>
      <c r="AK299" s="85"/>
      <c r="AL299" s="85"/>
      <c r="AM299" s="85"/>
      <c r="AN299" s="85"/>
      <c r="AO299" s="85"/>
      <c r="AP299" s="85"/>
    </row>
    <row r="300" ht="84.75" customHeight="1">
      <c r="A300" s="29"/>
      <c r="B300" s="38" t="s">
        <v>118</v>
      </c>
      <c r="C300" s="39" t="s">
        <v>918</v>
      </c>
      <c r="D300" s="40" t="s">
        <v>919</v>
      </c>
      <c r="E300" s="40" t="s">
        <v>16</v>
      </c>
      <c r="F300" s="40" t="s">
        <v>623</v>
      </c>
      <c r="G300" s="39" t="s">
        <v>18</v>
      </c>
      <c r="H300" s="127" t="s">
        <v>920</v>
      </c>
      <c r="I300" s="48" t="s">
        <v>921</v>
      </c>
      <c r="J300" s="42" t="str">
        <f>IFERROR(__xludf.DUMMYFUNCTION("GOOGLETRANSLATE(I300,""en"",""pl"")"),"Kamera z zoomem odporna na wybuch, 2 MP @60 kl./s, obiektyw z zoomem optycznym 4,44 ~ 142,6 mm 32x (62,8º ~ 2,23º), H.264/MJPEG z WiseStream, strumieniowanie wielokrotne, WDR 120 dB, automatyczny tryb dzień/noc (ICR), wykrywanie twarzy, wykrywanie manipul"&amp;"acji, wykrywanie ruchu, cyfrowa stabilizacja obrazu, ONVIF S, certyfikat cLCus C1/D1, CE2460 EX II 2 GD Ex d IIC T6 Gb IP67 Ex tb IIIC T80°C Db, IP67/IK10, 24VAC, stal nierdzewna 316L, wbudowana wycieraczka")</f>
        <v>Kamera z zoomem odporna na wybuch, 2 MP @60 kl./s, obiektyw z zoomem optycznym 4,44 ~ 142,6 mm 32x (62,8º ~ 2,23º), H.264/MJPEG z WiseStream, strumieniowanie wielokrotne, WDR 120 dB, automatyczny tryb dzień/noc (ICR), wykrywanie twarzy, wykrywanie manipulacji, wykrywanie ruchu, cyfrowa stabilizacja obrazu, ONVIF S, certyfikat cLCus C1/D1, CE2460 EX II 2 GD Ex d IIC T6 Gb IP67 Ex tb IIIC T80°C Db, IP67/IK10, 24VAC, stal nierdzewna 316L, wbudowana wycieraczka</v>
      </c>
      <c r="K300" s="43" t="s">
        <v>21</v>
      </c>
      <c r="L300" s="44">
        <v>25702.0</v>
      </c>
      <c r="M300" s="8"/>
      <c r="N300" s="45" t="s">
        <v>22</v>
      </c>
      <c r="O300" s="97"/>
      <c r="P300" s="36"/>
      <c r="Q300" s="35"/>
      <c r="R300" s="68"/>
      <c r="S300" s="68"/>
      <c r="T300" s="68"/>
      <c r="U300" s="35"/>
      <c r="V300" s="35"/>
      <c r="W300" s="35"/>
      <c r="X300" s="35"/>
      <c r="Y300" s="35"/>
      <c r="Z300" s="35"/>
      <c r="AA300" s="35"/>
      <c r="AB300" s="35"/>
      <c r="AC300" s="60"/>
      <c r="AD300" s="85"/>
      <c r="AE300" s="85"/>
      <c r="AF300" s="85"/>
      <c r="AG300" s="85"/>
      <c r="AH300" s="85"/>
      <c r="AI300" s="85"/>
      <c r="AJ300" s="85"/>
      <c r="AK300" s="85"/>
      <c r="AL300" s="85"/>
      <c r="AM300" s="85"/>
      <c r="AN300" s="85"/>
      <c r="AO300" s="85"/>
      <c r="AP300" s="85"/>
    </row>
    <row r="301" ht="30.0" customHeight="1">
      <c r="A301" s="29"/>
      <c r="B301" s="93" t="s">
        <v>922</v>
      </c>
      <c r="C301" s="113"/>
      <c r="D301" s="113"/>
      <c r="E301" s="113"/>
      <c r="F301" s="113"/>
      <c r="G301" s="113"/>
      <c r="H301" s="113"/>
      <c r="I301" s="113"/>
      <c r="J301" s="42" t="str">
        <f>IFERROR(__xludf.DUMMYFUNCTION("GOOGLETRANSLATE(I301,""en"",""pl"")"),"#VALUE!")</f>
        <v>#VALUE!</v>
      </c>
      <c r="K301" s="94"/>
      <c r="L301" s="114"/>
      <c r="M301" s="115"/>
      <c r="N301" s="96"/>
      <c r="O301" s="83"/>
      <c r="P301" s="36"/>
      <c r="Q301" s="35"/>
      <c r="R301" s="68"/>
      <c r="S301" s="68"/>
      <c r="T301" s="68"/>
      <c r="U301" s="35"/>
      <c r="V301" s="35"/>
      <c r="W301" s="35"/>
      <c r="X301" s="35"/>
      <c r="Y301" s="35"/>
      <c r="Z301" s="35"/>
      <c r="AA301" s="35"/>
      <c r="AB301" s="35"/>
      <c r="AC301" s="60"/>
      <c r="AD301" s="85"/>
      <c r="AE301" s="85"/>
      <c r="AF301" s="85"/>
      <c r="AG301" s="85"/>
      <c r="AH301" s="85"/>
      <c r="AI301" s="85"/>
      <c r="AJ301" s="85"/>
      <c r="AK301" s="85"/>
      <c r="AL301" s="85"/>
      <c r="AM301" s="85"/>
      <c r="AN301" s="85"/>
      <c r="AO301" s="85"/>
      <c r="AP301" s="85"/>
    </row>
    <row r="302" ht="46.5" customHeight="1">
      <c r="A302" s="29"/>
      <c r="B302" s="102" t="s">
        <v>118</v>
      </c>
      <c r="C302" s="103" t="s">
        <v>923</v>
      </c>
      <c r="D302" s="104" t="s">
        <v>924</v>
      </c>
      <c r="E302" s="104" t="s">
        <v>16</v>
      </c>
      <c r="F302" s="104" t="s">
        <v>925</v>
      </c>
      <c r="G302" s="103" t="s">
        <v>18</v>
      </c>
      <c r="H302" s="105" t="s">
        <v>19</v>
      </c>
      <c r="I302" s="106" t="s">
        <v>926</v>
      </c>
      <c r="J302" s="42" t="str">
        <f>IFERROR(__xludf.DUMMYFUNCTION("GOOGLETRANSLATE(I302,""en"",""pl"")"),"Seria T sieciowa radiometryczna kompaktowa kamera typu bullet, 384 x 288 (bez chłodzenia); &lt;30 mK (NETD), maks. 768 x 576 przy 30 kl./s, obiektyw o stałej ogniskowej 9,7 mm (FoV: 37,9°), potrójny kodek H.265/H.264/MJPEG z obsługą Wisestream II i WiseStrea"&amp;"m III (na podstawie silnika AI), zdarzenia analityczne na podstawie silnika AI: wykrywanie obiektów (osoba/pojazd), wirtualna linia (przekroczenie/kierunek), wirtualny obszar (włóczęgostwo/wtargnięcie/wejście/wyjście), zdarzenia analityczne: wykrywanie ru"&amp;"chu, manipulacja, wykrywanie dźwięku, klasyfikacja dźwięku, wykrywanie wstrząsów, wirtualny obszar (pojawianie się/znikanie), przekazanie PTZ, radiometria: cały obszar FOV lub do 10 programowalnych przez użytkownika wielokątnych obszarów ROI, zakres wykry"&amp;"wania temperatury od -40°C do 550°C (-40°F do 1022°F), karta SD, zintegrowana obudowa tylna, IP66, 
NEMA4X, IK10, PoE/12 V DC, kolor biały. Produkt podlega umowie termicznej.")</f>
        <v>Seria T sieciowa radiometryczna kompaktowa kamera typu bullet, 384 x 288 (bez chłodzenia); &lt;30 mK (NETD), maks. 768 x 576 przy 30 kl./s, obiektyw o stałej ogniskowej 9,7 mm (FoV: 37,9°),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tylna, IP66, 
NEMA4X, IK10, PoE/12 V DC, kolor biały. Produkt podlega umowie termicznej.</v>
      </c>
      <c r="K302" s="43" t="s">
        <v>21</v>
      </c>
      <c r="L302" s="44">
        <v>5650.0</v>
      </c>
      <c r="M302" s="8"/>
      <c r="N302" s="45" t="s">
        <v>22</v>
      </c>
      <c r="O302" s="97"/>
      <c r="P302" s="36"/>
      <c r="Q302" s="35"/>
      <c r="R302" s="68"/>
      <c r="S302" s="68"/>
      <c r="T302" s="68"/>
      <c r="U302" s="35"/>
      <c r="V302" s="35"/>
      <c r="W302" s="35"/>
      <c r="X302" s="35"/>
      <c r="Y302" s="35"/>
      <c r="Z302" s="35"/>
      <c r="AA302" s="35"/>
      <c r="AB302" s="35"/>
      <c r="AC302" s="60"/>
      <c r="AD302" s="85"/>
      <c r="AE302" s="85"/>
      <c r="AF302" s="85"/>
      <c r="AG302" s="85"/>
      <c r="AH302" s="85"/>
      <c r="AI302" s="85"/>
      <c r="AJ302" s="85"/>
      <c r="AK302" s="85"/>
      <c r="AL302" s="85"/>
      <c r="AM302" s="85"/>
      <c r="AN302" s="85"/>
      <c r="AO302" s="85"/>
      <c r="AP302" s="85"/>
    </row>
    <row r="303" ht="46.5" customHeight="1">
      <c r="A303" s="29"/>
      <c r="B303" s="102" t="s">
        <v>118</v>
      </c>
      <c r="C303" s="103" t="s">
        <v>927</v>
      </c>
      <c r="D303" s="104" t="s">
        <v>924</v>
      </c>
      <c r="E303" s="104" t="s">
        <v>16</v>
      </c>
      <c r="F303" s="104" t="s">
        <v>925</v>
      </c>
      <c r="G303" s="103" t="s">
        <v>18</v>
      </c>
      <c r="H303" s="105" t="s">
        <v>19</v>
      </c>
      <c r="I303" s="106" t="s">
        <v>928</v>
      </c>
      <c r="J303" s="42" t="str">
        <f>IFERROR(__xludf.DUMMYFUNCTION("GOOGLETRANSLATE(I303,""en"",""pl"")"),"Seria T sieciowa Radiometryczna kompaktowa kamera typu bullet, 384 x 288 (niechłodzona); &lt;30 mK (NETD), maks. 768 x 576 przy 30 kl./s, obiektyw o stałej ogniskowej 6,6 mm (FoV: 60,0°), potrójny kodek H.265/H.264/MJPEG z obsługą Wisestream II i WiseStream "&amp;"III (na podstawie silnika AI), zdarzenia analityczne na podstawie silnika AI: wykrywanie obiektów (osoba/pojazd), wirtualna linia (przekroczenie/kierunek), wirtualny obszar (włóczęgostwo/wtargnięcie/wejście/wyjście), zdarzenia analityczne: wykrywanie ruch"&amp;"u, manipulacja, wykrywanie dźwięku, klasyfikacja dźwięku, wykrywanie wstrząsów, wirtualny obszar (pojawianie się/znikanie), przekazanie PTZ, Radiometria: cały obszar FoV lub do 10 programowalnych przez użytkownika wielokątnych obszarów ROI, zakres wykrywa"&amp;"nia temperatury od -40°C do 550°C (-40°F do 1022°F), karta SD, zintegrowana obudowa tylna, IP66, 
NEMA4X, IK10, PoE/12 V DC, kolor biały. Produkt podlega umowie termicznej.")</f>
        <v>Seria T sieciowa Radiometryczna kompaktowa kamera typu bullet, 384 x 288 (niechłodzona); &lt;30 mK (NETD), maks. 768 x 576 przy 30 kl./s, obiektyw o stałej ogniskowej 6,6 mm (FoV: 60,0°),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tylna, IP66, 
NEMA4X, IK10, PoE/12 V DC, kolor biały. Produkt podlega umowie termicznej.</v>
      </c>
      <c r="K303" s="43" t="s">
        <v>21</v>
      </c>
      <c r="L303" s="44">
        <v>5650.0</v>
      </c>
      <c r="M303" s="8"/>
      <c r="N303" s="45" t="s">
        <v>22</v>
      </c>
      <c r="O303" s="97"/>
      <c r="P303" s="36"/>
      <c r="Q303" s="35"/>
      <c r="R303" s="68"/>
      <c r="S303" s="68"/>
      <c r="T303" s="68"/>
      <c r="U303" s="35"/>
      <c r="V303" s="35"/>
      <c r="W303" s="35"/>
      <c r="X303" s="35"/>
      <c r="Y303" s="35"/>
      <c r="Z303" s="35"/>
      <c r="AA303" s="35"/>
      <c r="AB303" s="35"/>
      <c r="AC303" s="60"/>
      <c r="AD303" s="85"/>
      <c r="AE303" s="85"/>
      <c r="AF303" s="85"/>
      <c r="AG303" s="85"/>
      <c r="AH303" s="85"/>
      <c r="AI303" s="85"/>
      <c r="AJ303" s="85"/>
      <c r="AK303" s="85"/>
      <c r="AL303" s="85"/>
      <c r="AM303" s="85"/>
      <c r="AN303" s="85"/>
      <c r="AO303" s="85"/>
      <c r="AP303" s="85"/>
    </row>
    <row r="304" ht="46.5" customHeight="1">
      <c r="A304" s="29"/>
      <c r="B304" s="102" t="s">
        <v>118</v>
      </c>
      <c r="C304" s="103" t="s">
        <v>929</v>
      </c>
      <c r="D304" s="104" t="s">
        <v>924</v>
      </c>
      <c r="E304" s="104" t="s">
        <v>16</v>
      </c>
      <c r="F304" s="104" t="s">
        <v>925</v>
      </c>
      <c r="G304" s="103" t="s">
        <v>18</v>
      </c>
      <c r="H304" s="105" t="s">
        <v>19</v>
      </c>
      <c r="I304" s="106" t="s">
        <v>930</v>
      </c>
      <c r="J304" s="42" t="str">
        <f>IFERROR(__xludf.DUMMYFUNCTION("GOOGLETRANSLATE(I304,""en"",""pl"")"),"Seria T sieciowa Radiometryczna kompaktowa kamera typu bullet, 384 x 288 (bez chłodzenia); &lt;30 mK (NETD), maks. 768 x 576 przy 30 kl./s, obiektyw o stałej ogniskowej 4,4 mm (FoV: 90,0°), potrójny kodek H.265/H.264/MJPEG z obsługą Wisestream II i WiseStrea"&amp;"m III (na podstawie silnika AI), zdarzenia analityczne na podstawie silnika AI: wykrywanie obiektów (osoba/pojazd), wirtualna linia (przekroczenie/kierunek), wirtualny obszar (włóczęgostwo/wtargnięcie/wejście/wyjście), zdarzenia analityczne: wykrywanie ru"&amp;"chu, manipulacja, wykrywanie dźwięku, klasyfikacja dźwięku, wykrywanie wstrząsów, wirtualny obszar (pojawianie się/znikanie), przekazanie PTZ, Radiometria: cały obszar FoV lub do 10 programowalnych przez użytkownika wielokątnych obszarów ROI, zakres wykry"&amp;"wania temperatury od -40°C do 550°C (-40°F do 1022°F), karta SD, zintegrowana obudowa tylna, IP66, 
NEMA4X, IK10, PoE/12 V DC, kolor biały. Produkt podlega umowie termicznej.")</f>
        <v>Seria T sieciowa Radiometryczna kompaktowa kamera typu bullet, 384 x 288 (bez chłodzenia); &lt;30 mK (NETD), maks. 768 x 576 przy 30 kl./s, obiektyw o stałej ogniskowej 4,4 mm (FoV: 90,0°),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tylna, IP66, 
NEMA4X, IK10, PoE/12 V DC, kolor biały. Produkt podlega umowie termicznej.</v>
      </c>
      <c r="K304" s="43" t="s">
        <v>21</v>
      </c>
      <c r="L304" s="44">
        <v>5650.0</v>
      </c>
      <c r="M304" s="8"/>
      <c r="N304" s="45" t="s">
        <v>22</v>
      </c>
      <c r="O304" s="97"/>
      <c r="P304" s="36"/>
      <c r="Q304" s="35"/>
      <c r="R304" s="68"/>
      <c r="S304" s="68"/>
      <c r="T304" s="68"/>
      <c r="U304" s="35"/>
      <c r="V304" s="35"/>
      <c r="W304" s="35"/>
      <c r="X304" s="35"/>
      <c r="Y304" s="35"/>
      <c r="Z304" s="35"/>
      <c r="AA304" s="35"/>
      <c r="AB304" s="35"/>
      <c r="AC304" s="60"/>
      <c r="AD304" s="85"/>
      <c r="AE304" s="85"/>
      <c r="AF304" s="85"/>
      <c r="AG304" s="85"/>
      <c r="AH304" s="85"/>
      <c r="AI304" s="85"/>
      <c r="AJ304" s="85"/>
      <c r="AK304" s="85"/>
      <c r="AL304" s="85"/>
      <c r="AM304" s="85"/>
      <c r="AN304" s="85"/>
      <c r="AO304" s="85"/>
      <c r="AP304" s="85"/>
    </row>
    <row r="305" ht="46.5" customHeight="1">
      <c r="A305" s="29"/>
      <c r="B305" s="38" t="s">
        <v>118</v>
      </c>
      <c r="C305" s="39" t="s">
        <v>931</v>
      </c>
      <c r="D305" s="104" t="s">
        <v>932</v>
      </c>
      <c r="E305" s="40" t="s">
        <v>16</v>
      </c>
      <c r="F305" s="40" t="s">
        <v>925</v>
      </c>
      <c r="G305" s="39" t="s">
        <v>18</v>
      </c>
      <c r="H305" s="41" t="s">
        <v>19</v>
      </c>
      <c r="I305" s="48" t="s">
        <v>933</v>
      </c>
      <c r="J305" s="42" t="str">
        <f>IFERROR(__xludf.DUMMYFUNCTION("GOOGLETRANSLATE(I305,""en"",""pl"")"),"Seria T sieciowa Radiometryczna kompaktowa kamera typu bullet, 384 x 288 (niechłodzona); &lt;30 mK (NETD), maks. 768 x 576 przy 8 kl./s, obiektyw o stałej ogniskowej 9,7 mm (FoV: 37,9°), potrójny kodek H.265/H.264/MJPEG z obsługą Wisestream II i WiseStream I"&amp;"II (na podstawie silnika AI), zdarzenia analityczne na podstawie silnika AI: wykrywanie obiektów (osoba/pojazd), wirtualna linia (przekroczenie/kierunek), wirtualny obszar (włóczęgostwo/wtargnięcie/wejście/wyjście), zdarzenia analityczne: wykrywanie ruchu"&amp;", manipulacja, wykrywanie dźwięku, klasyfikacja dźwięku, wykrywanie wstrząsów, wirtualny obszar (pojawianie się/znikanie), przekazanie PTZ, Radiometria: cały obszar FOV lub do 10 programowalnych przez użytkownika wielokątnych obszarów ROI, zakres wykrywan"&amp;"ia temperatury od -40°C do 550°C (-40°F do 1022°F), karta SD, zintegrowana obudowa tylna, IP66, 
NEMA4X, IK10, PoE/12 V DC, kolor biały")</f>
        <v>Seria T sieciowa Radiometryczna kompaktowa kamera typu bullet, 384 x 288 (niechłodzona); &lt;30 mK (NETD), maks. 768 x 576 przy 8 kl./s, obiektyw o stałej ogniskowej 9,7 mm (FoV: 37,9°),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tylna, IP66, 
NEMA4X, IK10, PoE/12 V DC, kolor biały</v>
      </c>
      <c r="K305" s="43" t="s">
        <v>21</v>
      </c>
      <c r="L305" s="44">
        <v>5650.0</v>
      </c>
      <c r="M305" s="8"/>
      <c r="N305" s="45" t="s">
        <v>22</v>
      </c>
      <c r="O305" s="97"/>
      <c r="P305" s="36"/>
      <c r="Q305" s="35"/>
      <c r="R305" s="68"/>
      <c r="S305" s="68"/>
      <c r="T305" s="68"/>
      <c r="U305" s="35"/>
      <c r="V305" s="35"/>
      <c r="W305" s="35"/>
      <c r="X305" s="35"/>
      <c r="Y305" s="35"/>
      <c r="Z305" s="35"/>
      <c r="AA305" s="35"/>
      <c r="AB305" s="35"/>
      <c r="AC305" s="60"/>
      <c r="AD305" s="85"/>
      <c r="AE305" s="85"/>
      <c r="AF305" s="85"/>
      <c r="AG305" s="85"/>
      <c r="AH305" s="85"/>
      <c r="AI305" s="85"/>
      <c r="AJ305" s="85"/>
      <c r="AK305" s="85"/>
      <c r="AL305" s="85"/>
      <c r="AM305" s="85"/>
      <c r="AN305" s="85"/>
      <c r="AO305" s="85"/>
      <c r="AP305" s="85"/>
    </row>
    <row r="306" ht="46.5" customHeight="1">
      <c r="A306" s="29"/>
      <c r="B306" s="102" t="s">
        <v>118</v>
      </c>
      <c r="C306" s="103" t="s">
        <v>934</v>
      </c>
      <c r="D306" s="104" t="s">
        <v>932</v>
      </c>
      <c r="E306" s="104" t="s">
        <v>16</v>
      </c>
      <c r="F306" s="104" t="s">
        <v>925</v>
      </c>
      <c r="G306" s="103" t="s">
        <v>18</v>
      </c>
      <c r="H306" s="105" t="s">
        <v>19</v>
      </c>
      <c r="I306" s="106" t="s">
        <v>935</v>
      </c>
      <c r="J306" s="42" t="str">
        <f>IFERROR(__xludf.DUMMYFUNCTION("GOOGLETRANSLATE(I306,""en"",""pl"")"),"Seria T sieciowa radiometryczna kompaktowa kamera typu bullet, 384 x 288 (bez chłodzenia); &lt;30 mK (NETD), maks. 768 x 576 przy 8 kl./s, obiektyw o stałej ogniskowej 6,6 mm (FoV: 60,0°), potrójny kodek H.265/H.264/MJPEG z obsługą Wisestream II i WiseStream"&amp;" III (na podstawie silnika AI), zdarzenia analityczne na podstawie silnika AI: wykrywanie obiektów (osoba/pojazd), wirtualna linia (przekroczenie/kierunek), wirtualny obszar (włóczęgostwo/wtargnięcie/wejście/wyjście), zdarzenia analityczne: wykrywanie ruc"&amp;"hu, manipulacja, wykrywanie dźwięku, klasyfikacja dźwięku, wykrywanie wstrząsów, wirtualny obszar (pojawianie się/znikanie), przekazanie PTZ, radiometria: cały obszar FOV lub do 10 programowalnych przez użytkownika wielokątnych obszarów ROI, zakres wykryw"&amp;"ania temperatury od -40°C do 550°C (-40°F do 1022°F), karta SD, zintegrowana obudowa tylna, IP66, 
NEMA4X, IK10, PoE/12 V DC, kolor biały")</f>
        <v>Seria T sieciowa radiometryczna kompaktowa kamera typu bullet, 384 x 288 (bez chłodzenia); &lt;30 mK (NETD), maks. 768 x 576 przy 8 kl./s, obiektyw o stałej ogniskowej 6,6 mm (FoV: 60,0°),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tylna, IP66, 
NEMA4X, IK10, PoE/12 V DC, kolor biały</v>
      </c>
      <c r="K306" s="43" t="s">
        <v>21</v>
      </c>
      <c r="L306" s="44">
        <v>5650.0</v>
      </c>
      <c r="M306" s="8"/>
      <c r="N306" s="45" t="s">
        <v>22</v>
      </c>
      <c r="O306" s="97"/>
      <c r="P306" s="36"/>
      <c r="Q306" s="35"/>
      <c r="R306" s="68"/>
      <c r="S306" s="68"/>
      <c r="T306" s="68"/>
      <c r="U306" s="35"/>
      <c r="V306" s="35"/>
      <c r="W306" s="35"/>
      <c r="X306" s="35"/>
      <c r="Y306" s="35"/>
      <c r="Z306" s="35"/>
      <c r="AA306" s="35"/>
      <c r="AB306" s="35"/>
      <c r="AC306" s="60"/>
      <c r="AD306" s="85"/>
      <c r="AE306" s="85"/>
      <c r="AF306" s="85"/>
      <c r="AG306" s="85"/>
      <c r="AH306" s="85"/>
      <c r="AI306" s="85"/>
      <c r="AJ306" s="85"/>
      <c r="AK306" s="85"/>
      <c r="AL306" s="85"/>
      <c r="AM306" s="85"/>
      <c r="AN306" s="85"/>
      <c r="AO306" s="85"/>
      <c r="AP306" s="85"/>
    </row>
    <row r="307" ht="46.5" customHeight="1">
      <c r="A307" s="29"/>
      <c r="B307" s="102" t="s">
        <v>118</v>
      </c>
      <c r="C307" s="103" t="s">
        <v>936</v>
      </c>
      <c r="D307" s="104" t="s">
        <v>932</v>
      </c>
      <c r="E307" s="104" t="s">
        <v>16</v>
      </c>
      <c r="F307" s="104" t="s">
        <v>925</v>
      </c>
      <c r="G307" s="103" t="s">
        <v>18</v>
      </c>
      <c r="H307" s="105" t="s">
        <v>19</v>
      </c>
      <c r="I307" s="106" t="s">
        <v>937</v>
      </c>
      <c r="J307" s="42" t="str">
        <f>IFERROR(__xludf.DUMMYFUNCTION("GOOGLETRANSLATE(I307,""en"",""pl"")"),"Seria T sieciowa Radiometryczna kompaktowa kamera typu bullet, 384 x 288 (bez chłodzenia); &lt;30 mK (NETD), maks. 768 x 576 przy 8 kl./s, obiektyw o stałej ogniskowej 4,4 mm (FoV: 90,0°), potrójny kodek H.265/H.264/MJPEG z obsługą Wisestream II i WiseStream"&amp;" III (na podstawie silnika AI), zdarzenia analityczne na podstawie silnika AI: wykrywanie obiektów (osoba/pojazd), wirtualna linia (przekroczenie/kierunek), wirtualny obszar (włóczęgostwo/wtargnięcie/wejście/wyjście), zdarzenia analityczne: wykrywanie ruc"&amp;"hu, manipulacja, wykrywanie dźwięku, klasyfikacja dźwięku, wykrywanie wstrząsów, wirtualny obszar (pojawianie się/znikanie), przekazanie PTZ, Radiometria: cały obszar FOV lub do 10 programowalnych przez użytkownika wielokątnych obszarów ROI, zakres wykryw"&amp;"ania temperatury od -40°C do 550°C (-40°F do 1022°F), karta SD, zintegrowana obudowa, IP66, NEMA4X, IK10, PoE/12VDC, kolor biały.")</f>
        <v>Seria T sieciowa Radiometryczna kompaktowa kamera typu bullet, 384 x 288 (bez chłodzenia); &lt;30 mK (NETD), maks. 768 x 576 przy 8 kl./s, obiektyw o stałej ogniskowej 4,4 mm (FoV: 90,0°), potrójny kodek H.265/H.264/MJPEG z obsługą Wisestream II i WiseStream III (na podstawie silnika AI), zdarzenia analityczne na podstawie silnika AI: wykrywanie obiektów (osoba/pojazd), wirtualna linia (przekroczenie/kierunek), wirtualny obszar (włóczęgostwo/wtargnięcie/wejście/wyjście), zdarzenia analityczne: wykrywanie ruchu, manipulacja, wykrywanie dźwięku, klasyfikacja dźwięku, wykrywanie wstrząsów, wirtualny obszar (pojawianie się/znikanie), przekazanie PTZ, Radiometria: cały obszar FOV lub do 10 programowalnych przez użytkownika wielokątnych obszarów ROI, zakres wykrywania temperatury od -40°C do 550°C (-40°F do 1022°F), karta SD, zintegrowana obudowa, IP66, NEMA4X, IK10, PoE/12VDC, kolor biały.</v>
      </c>
      <c r="K307" s="43" t="s">
        <v>21</v>
      </c>
      <c r="L307" s="44">
        <v>5650.0</v>
      </c>
      <c r="M307" s="8"/>
      <c r="N307" s="45" t="s">
        <v>22</v>
      </c>
      <c r="O307" s="97"/>
      <c r="P307" s="36"/>
      <c r="Q307" s="35"/>
      <c r="R307" s="68"/>
      <c r="S307" s="68"/>
      <c r="T307" s="68"/>
      <c r="U307" s="35"/>
      <c r="V307" s="35"/>
      <c r="W307" s="35"/>
      <c r="X307" s="35"/>
      <c r="Y307" s="35"/>
      <c r="Z307" s="35"/>
      <c r="AA307" s="35"/>
      <c r="AB307" s="35"/>
      <c r="AC307" s="60"/>
      <c r="AD307" s="85"/>
      <c r="AE307" s="85"/>
      <c r="AF307" s="85"/>
      <c r="AG307" s="85"/>
      <c r="AH307" s="85"/>
      <c r="AI307" s="85"/>
      <c r="AJ307" s="85"/>
      <c r="AK307" s="85"/>
      <c r="AL307" s="85"/>
      <c r="AM307" s="85"/>
      <c r="AN307" s="85"/>
      <c r="AO307" s="85"/>
      <c r="AP307" s="85"/>
    </row>
    <row r="308" ht="46.5" customHeight="1">
      <c r="A308" s="29"/>
      <c r="B308" s="102" t="s">
        <v>118</v>
      </c>
      <c r="C308" s="103" t="s">
        <v>938</v>
      </c>
      <c r="D308" s="104" t="s">
        <v>939</v>
      </c>
      <c r="E308" s="104" t="s">
        <v>16</v>
      </c>
      <c r="F308" s="104" t="s">
        <v>925</v>
      </c>
      <c r="G308" s="103" t="s">
        <v>18</v>
      </c>
      <c r="H308" s="105" t="s">
        <v>19</v>
      </c>
      <c r="I308" s="106" t="s">
        <v>940</v>
      </c>
      <c r="J308" s="42" t="str">
        <f>IFERROR(__xludf.DUMMYFUNCTION("GOOGLETRANSLATE(I308,""en"",""pl"")"),"Kompaktowa kamera termowizyjna sieciowa typu bullet z serii T, 384 x 288 (bez chłodzenia); &lt;20 mK (NETD), maks. rozdzielczość 768 x 576 przy 30 kl./s, obiektyw stałoogniskowy 60 mm (HFoV: 6,2°), potrójny kodek H.265/H.264/MJPEG z obsługą WiseStream III (o"&amp;"partego na silniku AI), zdarzenia analityczne oparte na silniku AI: wykrywanie obiektów (osoba/pojazd), wirtualna linia (przejście/kierunek), obszar wirtualny (włóczęgostwo/wtargnięcie/wejście/wyjście), zdarzenia analityczne: wykrywanie ruchu, manipulacja"&amp;", wykrywanie dźwięku, klasyfikacja dźwięku, wykrywanie wstrząsów, obszar wirtualny (pojawienie się/zniknięcie), przekazywanie PTZ, wbudowane gniazdo na kartę SD (1 x 1 TB), zintegrowana obudowa, IP66, NEMA4X, IK10, PoE/12 V DC, kolor biały
Produkt podlega"&amp;" umowie termicznej.")</f>
        <v>Kompaktowa kamera termowizyjna sieciowa typu bullet z serii T, 384 x 288 (bez chłodzenia); &lt;20 mK (NETD), maks. rozdzielczość 768 x 576 przy 30 kl./s, obiektyw stałoogniskowy 60 mm (HFoV: 6,2°), potrójny kodek H.265/H.264/MJPEG z obsługą WiseStream III (opartego na silniku AI), zdarzenia analityczne oparte na silniku AI: wykrywanie obiektów (osoba/pojazd), wirtualna linia (przejście/kierunek), obszar wirtualny (włóczęgostwo/wtargnięcie/wejście/wyjście), zdarzenia analityczne: wykrywanie ruchu, manipulacja, wykrywanie dźwięku, klasyfikacja dźwięku, wykrywanie wstrząsów, obszar wirtualny (pojawienie się/zniknięcie), przekazywanie PTZ, wbudowane gniazdo na kartę SD (1 x 1 TB), zintegrowana obudowa, IP66, NEMA4X, IK10, PoE/12 V DC, kolor biały
Produkt podlega umowie termicznej.</v>
      </c>
      <c r="K308" s="43" t="s">
        <v>21</v>
      </c>
      <c r="L308" s="44">
        <v>8950.0</v>
      </c>
      <c r="M308" s="8"/>
      <c r="N308" s="45" t="s">
        <v>22</v>
      </c>
      <c r="O308" s="97"/>
      <c r="P308" s="36"/>
      <c r="Q308" s="35"/>
      <c r="R308" s="68"/>
      <c r="S308" s="68"/>
      <c r="T308" s="68"/>
      <c r="U308" s="35"/>
      <c r="V308" s="35"/>
      <c r="W308" s="35"/>
      <c r="X308" s="35"/>
      <c r="Y308" s="35"/>
      <c r="Z308" s="35"/>
      <c r="AA308" s="35"/>
      <c r="AB308" s="35"/>
      <c r="AC308" s="60"/>
      <c r="AD308" s="85"/>
      <c r="AE308" s="85"/>
      <c r="AF308" s="85"/>
      <c r="AG308" s="85"/>
      <c r="AH308" s="85"/>
      <c r="AI308" s="85"/>
      <c r="AJ308" s="85"/>
      <c r="AK308" s="85"/>
      <c r="AL308" s="85"/>
      <c r="AM308" s="85"/>
      <c r="AN308" s="85"/>
      <c r="AO308" s="85"/>
      <c r="AP308" s="85"/>
    </row>
    <row r="309" ht="46.5" customHeight="1">
      <c r="A309" s="29"/>
      <c r="B309" s="102" t="s">
        <v>118</v>
      </c>
      <c r="C309" s="103" t="s">
        <v>941</v>
      </c>
      <c r="D309" s="104" t="s">
        <v>939</v>
      </c>
      <c r="E309" s="104" t="s">
        <v>16</v>
      </c>
      <c r="F309" s="104" t="s">
        <v>925</v>
      </c>
      <c r="G309" s="103" t="s">
        <v>18</v>
      </c>
      <c r="H309" s="105" t="s">
        <v>19</v>
      </c>
      <c r="I309" s="106" t="s">
        <v>942</v>
      </c>
      <c r="J309" s="42" t="str">
        <f>IFERROR(__xludf.DUMMYFUNCTION("GOOGLETRANSLATE(I309,""en"",""pl"")"),"Kompaktowa kamera termowizyjna sieciowa typu bullet z serii T, 384 x 288 (bez chłodzenia); &lt;20 mK (NETD), maks. rozdzielczość 768 x 576 przy 30 kl./s, obiektyw stałoogniskowy 35 mm (HFoV: 10,7°), potrójny kodek H.265/H.264/MJPEG z obsługą Wisestream II i "&amp;"WiseStream III (w oparciu o silnik AI). Zdarzenia analityczne oparte na silniku AI: wykrywanie obiektów (osoba/pojazd), wirtualna linia (przejście/kierunek), wirtualny obszar (włóczęgostwo/wtargnięcie/wejście/wyjście), zdarzenia analityczne: wykrywanie ru"&amp;"chu, manipulacja, wykrywanie dźwięku, klasyfikacja dźwięku, wykrywanie wstrząsów, wirtualny obszar (pojawienie się/zniknięcie), przekazanie PTZ, wbudowane gniazdo na kartę SD (1 x 1 TB), zintegrowana obudowa, IP66, NEMA4X, IK10, PoE/12 V DC, kolor biały. "&amp;"Produkt podlega umowie termicznej. ")</f>
        <v>Kompaktowa kamera termowizyjna sieciowa typu bullet z serii T, 384 x 288 (bez chłodzenia); &lt;20 mK (NETD), maks. rozdzielczość 768 x 576 przy 30 kl./s, obiektyw stałoogniskowy 35 mm (HFoV: 10,7°), potrójny kodek H.265/H.264/MJPEG z obsługą Wisestream II i WiseStream III (w oparciu o silnik AI). Zdarzenia analityczne oparte na silniku AI: wykrywanie obiektów (osoba/pojazd), wirtualna linia (przejście/kierunek), wirtualny obszar (włóczęgostwo/wtargnięcie/wejście/wyjście), zdarzenia analityczne: wykrywanie ruchu, manipulacja, wykrywanie dźwięku, klasyfikacja dźwięku, wykrywanie wstrząsów, wirtualny obszar (pojawienie się/zniknięcie), przekazanie PTZ, wbudowane gniazdo na kartę SD (1 x 1 TB), zintegrowana obudowa, IP66, NEMA4X, IK10, PoE/12 V DC, kolor biały. Produkt podlega umowie termicznej. </v>
      </c>
      <c r="K309" s="43" t="s">
        <v>21</v>
      </c>
      <c r="L309" s="44">
        <v>6250.0</v>
      </c>
      <c r="M309" s="8"/>
      <c r="N309" s="45" t="s">
        <v>22</v>
      </c>
      <c r="O309" s="97"/>
      <c r="P309" s="36"/>
      <c r="Q309" s="35"/>
      <c r="R309" s="68"/>
      <c r="S309" s="68"/>
      <c r="T309" s="68"/>
      <c r="U309" s="35"/>
      <c r="V309" s="35"/>
      <c r="W309" s="35"/>
      <c r="X309" s="35"/>
      <c r="Y309" s="35"/>
      <c r="Z309" s="35"/>
      <c r="AA309" s="35"/>
      <c r="AB309" s="35"/>
      <c r="AC309" s="60"/>
      <c r="AD309" s="85"/>
      <c r="AE309" s="85"/>
      <c r="AF309" s="85"/>
      <c r="AG309" s="85"/>
      <c r="AH309" s="85"/>
      <c r="AI309" s="85"/>
      <c r="AJ309" s="85"/>
      <c r="AK309" s="85"/>
      <c r="AL309" s="85"/>
      <c r="AM309" s="85"/>
      <c r="AN309" s="85"/>
      <c r="AO309" s="85"/>
      <c r="AP309" s="85"/>
    </row>
    <row r="310" ht="46.5" customHeight="1">
      <c r="A310" s="29"/>
      <c r="B310" s="102" t="s">
        <v>118</v>
      </c>
      <c r="C310" s="103" t="s">
        <v>943</v>
      </c>
      <c r="D310" s="104" t="s">
        <v>939</v>
      </c>
      <c r="E310" s="104" t="s">
        <v>16</v>
      </c>
      <c r="F310" s="104" t="s">
        <v>925</v>
      </c>
      <c r="G310" s="103" t="s">
        <v>18</v>
      </c>
      <c r="H310" s="105" t="s">
        <v>19</v>
      </c>
      <c r="I310" s="106" t="s">
        <v>944</v>
      </c>
      <c r="J310" s="42" t="str">
        <f>IFERROR(__xludf.DUMMYFUNCTION("GOOGLETRANSLATE(I310,""en"",""pl"")"),"Kompaktowa kamera termowizyjna sieciowa typu bullet z serii T, 384 x 288 pikseli (bez chłodzenia); &lt;20 mK (NETD), maks. rozdzielczość 768 x 576 pikseli przy 30 kl./s, obiektyw stałoogniskowy 19 mm (HFoV: 19,3°), potrójny kodek H.265/H.264/MJPEG z obsługą "&amp;"WiseStream III (opartego na silniku AI), zdarzenia analityczne oparte na silniku AI: wykrywanie obiektów (osoba/pojazd), wirtualna linia (przejście/kierunek), wirtualny obszar (włóczęgostwo/wtargnięcie/wejście/wyjście), zdarzenia analityczne: wykrywanie r"&amp;"uchu, manipulacja, wykrywanie dźwięku, klasyfikacja dźwięku, wykrywanie wstrząsów, wirtualny obszar (pojawienie się/zniknięcie), przekazanie PTZ, wbudowane gniazdo na kartę SD (1 x 1 TB), zintegrowana obudowa, IP66, NEMA4X, IK10, PoE/12 V DC, kolor biały."&amp;" Produkt podlega umowie termicznej.")</f>
        <v>Kompaktowa kamera termowizyjna sieciowa typu bullet z serii T, 384 x 288 pikseli (bez chłodzenia); &lt;20 mK (NETD), maks. rozdzielczość 768 x 576 pikseli przy 30 kl./s, obiektyw stałoogniskowy 19 mm (HFoV: 19,3°), potrójny kodek H.265/H.264/MJPEG z obsługą WiseStream III (opartego na silniku AI), zdarzenia analityczne oparte na silniku AI: wykrywanie obiektów (osoba/pojazd), wirtualna linia (przejście/kierunek), wirtualny obszar (włóczęgostwo/wtargnięcie/wejście/wyjście), zdarzenia analityczne: wykrywanie ruchu, manipulacja, wykrywanie dźwięku, klasyfikacja dźwięku, wykrywanie wstrząsów, wirtualny obszar (pojawienie się/zniknięcie), przekazanie PTZ, wbudowane gniazdo na kartę SD (1 x 1 TB), zintegrowana obudowa, IP66, NEMA4X, IK10, PoE/12 V DC, kolor biały. Produkt podlega umowie termicznej.</v>
      </c>
      <c r="K310" s="43" t="s">
        <v>21</v>
      </c>
      <c r="L310" s="44">
        <v>4500.0</v>
      </c>
      <c r="M310" s="8"/>
      <c r="N310" s="45" t="s">
        <v>22</v>
      </c>
      <c r="O310" s="97"/>
      <c r="P310" s="36"/>
      <c r="Q310" s="35"/>
      <c r="R310" s="68"/>
      <c r="S310" s="68"/>
      <c r="T310" s="68"/>
      <c r="U310" s="35"/>
      <c r="V310" s="35"/>
      <c r="W310" s="35"/>
      <c r="X310" s="35"/>
      <c r="Y310" s="35"/>
      <c r="Z310" s="35"/>
      <c r="AA310" s="35"/>
      <c r="AB310" s="35"/>
      <c r="AC310" s="60"/>
      <c r="AD310" s="85"/>
      <c r="AE310" s="85"/>
      <c r="AF310" s="85"/>
      <c r="AG310" s="85"/>
      <c r="AH310" s="85"/>
      <c r="AI310" s="85"/>
      <c r="AJ310" s="85"/>
      <c r="AK310" s="85"/>
      <c r="AL310" s="85"/>
      <c r="AM310" s="85"/>
      <c r="AN310" s="85"/>
      <c r="AO310" s="85"/>
      <c r="AP310" s="85"/>
    </row>
    <row r="311" ht="46.5" customHeight="1">
      <c r="A311" s="29"/>
      <c r="B311" s="102" t="s">
        <v>118</v>
      </c>
      <c r="C311" s="103" t="s">
        <v>945</v>
      </c>
      <c r="D311" s="104" t="s">
        <v>939</v>
      </c>
      <c r="E311" s="104" t="s">
        <v>16</v>
      </c>
      <c r="F311" s="104" t="s">
        <v>925</v>
      </c>
      <c r="G311" s="103" t="s">
        <v>18</v>
      </c>
      <c r="H311" s="105" t="s">
        <v>19</v>
      </c>
      <c r="I311" s="106" t="s">
        <v>946</v>
      </c>
      <c r="J311" s="42" t="str">
        <f>IFERROR(__xludf.DUMMYFUNCTION("GOOGLETRANSLATE(I311,""en"",""pl"")"),"Kompaktowa kamera termowizyjna sieciowa typu bullet z serii T, 384 x 288 pikseli (bez chłodzenia); &lt;20 mK (NETD), maks. rozdzielczość 768 x 576 pikseli przy 30 kl./s, obiektyw o stałej ogniskowej 13 mm (HFoV: 28,5°), potrójny kodek H.265/H.264/MJPEG z obs"&amp;"ługą WiseStream III (opartego na silniku AI), zdarzenia analityczne oparte na silniku AI: wykrywanie obiektów (osoba/pojazd), wirtualna linia (przejście/kierunek), wirtualny obszar (włóczęgostwo/wtargnięcie/wejście/wyjście), zdarzenia analityczne: wykrywa"&amp;"nie ruchu, manipulacja, wykrywanie dźwięku, klasyfikacja dźwięku, wykrywanie wstrząsów, wirtualny obszar (pojawienie się/zniknięcie), przekazanie PTZ, wbudowane gniazdo na kartę SD (1 x 1 TB), zintegrowana obudowa, IP66, NEMA4X, IK10, PoE/12 V DC, kolor b"&amp;"iały. Produkt podlega umowie termicznej.")</f>
        <v>Kompaktowa kamera termowizyjna sieciowa typu bullet z serii T, 384 x 288 pikseli (bez chłodzenia); &lt;20 mK (NETD), maks. rozdzielczość 768 x 576 pikseli przy 30 kl./s, obiektyw o stałej ogniskowej 13 mm (HFoV: 28,5°), potrójny kodek H.265/H.264/MJPEG z obsługą WiseStream III (opartego na silniku AI), zdarzenia analityczne oparte na silniku AI: wykrywanie obiektów (osoba/pojazd), wirtualna linia (przejście/kierunek), wirtualny obszar (włóczęgostwo/wtargnięcie/wejście/wyjście), zdarzenia analityczne: wykrywanie ruchu, manipulacja, wykrywanie dźwięku, klasyfikacja dźwięku, wykrywanie wstrząsów, wirtualny obszar (pojawienie się/zniknięcie), przekazanie PTZ, wbudowane gniazdo na kartę SD (1 x 1 TB), zintegrowana obudowa, IP66, NEMA4X, IK10, PoE/12 V DC, kolor biały. Produkt podlega umowie termicznej.</v>
      </c>
      <c r="K311" s="43" t="s">
        <v>21</v>
      </c>
      <c r="L311" s="44">
        <v>4400.0</v>
      </c>
      <c r="M311" s="8"/>
      <c r="N311" s="45" t="s">
        <v>22</v>
      </c>
      <c r="O311" s="97"/>
      <c r="P311" s="36"/>
      <c r="Q311" s="35"/>
      <c r="R311" s="68"/>
      <c r="S311" s="68"/>
      <c r="T311" s="68"/>
      <c r="U311" s="35"/>
      <c r="V311" s="35"/>
      <c r="W311" s="35"/>
      <c r="X311" s="35"/>
      <c r="Y311" s="35"/>
      <c r="Z311" s="35"/>
      <c r="AA311" s="35"/>
      <c r="AB311" s="35"/>
      <c r="AC311" s="60"/>
      <c r="AD311" s="85"/>
      <c r="AE311" s="85"/>
      <c r="AF311" s="85"/>
      <c r="AG311" s="85"/>
      <c r="AH311" s="85"/>
      <c r="AI311" s="85"/>
      <c r="AJ311" s="85"/>
      <c r="AK311" s="85"/>
      <c r="AL311" s="85"/>
      <c r="AM311" s="85"/>
      <c r="AN311" s="85"/>
      <c r="AO311" s="85"/>
      <c r="AP311" s="85"/>
    </row>
    <row r="312" ht="46.5" customHeight="1">
      <c r="A312" s="29"/>
      <c r="B312" s="102" t="s">
        <v>118</v>
      </c>
      <c r="C312" s="103" t="s">
        <v>947</v>
      </c>
      <c r="D312" s="104" t="s">
        <v>948</v>
      </c>
      <c r="E312" s="104" t="s">
        <v>16</v>
      </c>
      <c r="F312" s="104" t="s">
        <v>925</v>
      </c>
      <c r="G312" s="103" t="s">
        <v>18</v>
      </c>
      <c r="H312" s="105" t="s">
        <v>19</v>
      </c>
      <c r="I312" s="106" t="s">
        <v>949</v>
      </c>
      <c r="J312" s="42" t="str">
        <f>IFERROR(__xludf.DUMMYFUNCTION("GOOGLETRANSLATE(I312,""en"",""pl"")"),"Kompaktowa kamera termowizyjna sieciowa serii T, 384 x 288 (bez chłodzenia); ＜20mK (NETD), maks. rozdzielczość 768 x 576 przy 8 kl./s, obiektyw o stałej ogniskowej 60 mm (HFoV: 6,2o), potrójny kodek H.265/H.264/MJPEG z obsługą WiseStream III (na podstawie"&amp;" silnika AI), zdarzenia analityczne na podstawie silnika AI: wykrywanie obiektów (osoba/pojazd), wirtualna linia (przejście/kierunek), wirtualny obszar (włóczęgostwo/wtargnięcie/wejście/wyjście), zdarzenia analityczne: wykrywanie ruchu, manipulacja, wykry"&amp;"wanie dźwięku, klasyfikacja dźwięku, wykrywanie wstrząsów, wirtualny obszar (pojawianie się/znikanie), przekazanie PTZ, wbudowane gniazdo na kartę SD (1x1TB), zintegrowana obudowa tylna, IP66, NEMA4X, IK10, PoE/12VDC, kolor biały")</f>
        <v>Kompaktowa kamera termowizyjna sieciowa serii T, 384 x 288 (bez chłodzenia); ＜20mK (NETD), maks. rozdzielczość 768 x 576 przy 8 kl./s, obiektyw o stałej ogniskowej 60 mm (HFoV: 6,2o), potrójny kodek H.265/H.264/MJPEG z obsługą WiseStream III (na podstawie silnika AI), zdarzenia analityczne na podstawie silnika AI: wykrywanie obiektów (osoba/pojazd), wirtualna linia (przejście/kierunek), wirtualny obszar (włóczęgostwo/wtargnięcie/wejście/wyjście), zdarzenia analityczne: wykrywanie ruchu, manipulacja, wykrywanie dźwięku, klasyfikacja dźwięku, wykrywanie wstrząsów, wirtualny obszar (pojawianie się/znikanie), przekazanie PTZ, wbudowane gniazdo na kartę SD (1x1TB), zintegrowana obudowa tylna, IP66, NEMA4X, IK10, PoE/12VDC, kolor biały</v>
      </c>
      <c r="K312" s="43" t="s">
        <v>21</v>
      </c>
      <c r="L312" s="44">
        <v>8950.0</v>
      </c>
      <c r="M312" s="8"/>
      <c r="N312" s="45" t="s">
        <v>22</v>
      </c>
      <c r="O312" s="97"/>
      <c r="P312" s="36"/>
      <c r="Q312" s="35"/>
      <c r="R312" s="68"/>
      <c r="S312" s="68"/>
      <c r="T312" s="68"/>
      <c r="U312" s="35"/>
      <c r="V312" s="35"/>
      <c r="W312" s="35"/>
      <c r="X312" s="35"/>
      <c r="Y312" s="35"/>
      <c r="Z312" s="35"/>
      <c r="AA312" s="35"/>
      <c r="AB312" s="35"/>
      <c r="AC312" s="60"/>
      <c r="AD312" s="85"/>
      <c r="AE312" s="85"/>
      <c r="AF312" s="85"/>
      <c r="AG312" s="85"/>
      <c r="AH312" s="85"/>
      <c r="AI312" s="85"/>
      <c r="AJ312" s="85"/>
      <c r="AK312" s="85"/>
      <c r="AL312" s="85"/>
      <c r="AM312" s="85"/>
      <c r="AN312" s="85"/>
      <c r="AO312" s="85"/>
      <c r="AP312" s="85"/>
    </row>
    <row r="313" ht="46.5" customHeight="1">
      <c r="A313" s="29"/>
      <c r="B313" s="102" t="s">
        <v>118</v>
      </c>
      <c r="C313" s="103" t="s">
        <v>950</v>
      </c>
      <c r="D313" s="104" t="s">
        <v>948</v>
      </c>
      <c r="E313" s="104" t="s">
        <v>16</v>
      </c>
      <c r="F313" s="104" t="s">
        <v>925</v>
      </c>
      <c r="G313" s="103" t="s">
        <v>18</v>
      </c>
      <c r="H313" s="105" t="s">
        <v>19</v>
      </c>
      <c r="I313" s="106" t="s">
        <v>951</v>
      </c>
      <c r="J313" s="42" t="str">
        <f>IFERROR(__xludf.DUMMYFUNCTION("GOOGLETRANSLATE(I313,""en"",""pl"")"),"Kompaktowa kamera termowizyjna sieciowa serii T, 384 x 288 (bez chłodzenia); ＜20mK (NETD), maks. rozdzielczość 768 x 576 przy 8 kl./s, obiektyw o stałej ogniskowej 35 mm (HFoV: 10,7o), potrójny kodek H.265/H.264/MJPEG z obsługą WiseStream III (na podstawi"&amp;"e silnika AI), zdarzenia analityczne na podstawie silnika AI: wykrywanie obiektów (osoba/pojazd), wirtualna linia (przejście/kierunek), wirtualny obszar (włóczęgostwo/wtargnięcie/wejście/wyjście), zdarzenia analityczne: wykrywanie ruchu, manipulacja, wykr"&amp;"ywanie dźwięku, klasyfikacja dźwięku, wykrywanie wstrząsów, wirtualny obszar (pojawianie się/znikanie), przekazanie PTZ, wbudowane gniazdo na kartę SD (1x1TB), zintegrowana obudowa tylna, IP66, NEMA4X, IK10, PoE/12VDC, kolor biały")</f>
        <v>Kompaktowa kamera termowizyjna sieciowa serii T, 384 x 288 (bez chłodzenia); ＜20mK (NETD), maks. rozdzielczość 768 x 576 przy 8 kl./s, obiektyw o stałej ogniskowej 35 mm (HFoV: 10,7o), potrójny kodek H.265/H.264/MJPEG z obsługą WiseStream III (na podstawie silnika AI), zdarzenia analityczne na podstawie silnika AI: wykrywanie obiektów (osoba/pojazd), wirtualna linia (przejście/kierunek), wirtualny obszar (włóczęgostwo/wtargnięcie/wejście/wyjście), zdarzenia analityczne: wykrywanie ruchu, manipulacja, wykrywanie dźwięku, klasyfikacja dźwięku, wykrywanie wstrząsów, wirtualny obszar (pojawianie się/znikanie), przekazanie PTZ, wbudowane gniazdo na kartę SD (1x1TB), zintegrowana obudowa tylna, IP66, NEMA4X, IK10, PoE/12VDC, kolor biały</v>
      </c>
      <c r="K313" s="43" t="s">
        <v>21</v>
      </c>
      <c r="L313" s="44">
        <v>6250.0</v>
      </c>
      <c r="M313" s="8"/>
      <c r="N313" s="45" t="s">
        <v>22</v>
      </c>
      <c r="O313" s="97"/>
      <c r="P313" s="36"/>
      <c r="Q313" s="35"/>
      <c r="R313" s="68"/>
      <c r="S313" s="68"/>
      <c r="T313" s="68"/>
      <c r="U313" s="35"/>
      <c r="V313" s="35"/>
      <c r="W313" s="35"/>
      <c r="X313" s="35"/>
      <c r="Y313" s="35"/>
      <c r="Z313" s="35"/>
      <c r="AA313" s="35"/>
      <c r="AB313" s="35"/>
      <c r="AC313" s="60"/>
      <c r="AD313" s="85"/>
      <c r="AE313" s="85"/>
      <c r="AF313" s="85"/>
      <c r="AG313" s="85"/>
      <c r="AH313" s="85"/>
      <c r="AI313" s="85"/>
      <c r="AJ313" s="85"/>
      <c r="AK313" s="85"/>
      <c r="AL313" s="85"/>
      <c r="AM313" s="85"/>
      <c r="AN313" s="85"/>
      <c r="AO313" s="85"/>
      <c r="AP313" s="85"/>
    </row>
    <row r="314" ht="46.5" customHeight="1">
      <c r="A314" s="29"/>
      <c r="B314" s="102" t="s">
        <v>118</v>
      </c>
      <c r="C314" s="103" t="s">
        <v>952</v>
      </c>
      <c r="D314" s="104" t="s">
        <v>948</v>
      </c>
      <c r="E314" s="104" t="s">
        <v>16</v>
      </c>
      <c r="F314" s="104" t="s">
        <v>925</v>
      </c>
      <c r="G314" s="103" t="s">
        <v>18</v>
      </c>
      <c r="H314" s="105" t="s">
        <v>19</v>
      </c>
      <c r="I314" s="106" t="s">
        <v>953</v>
      </c>
      <c r="J314" s="42" t="str">
        <f>IFERROR(__xludf.DUMMYFUNCTION("GOOGLETRANSLATE(I314,""en"",""pl"")"),"Kompaktowa kamera termowizyjna sieciowa serii T, 384 x 288 (bez chłodzenia); ＜20mK (NETD), maks. rozdzielczość 768 x 576 przy 8 kl./s, obiektyw o stałej ogniskowej 19 mm (HFoV: 19,3o), potrójny kodek H.265/H.264/MJPEG z obsługą WiseStream III (na podstawi"&amp;"e silnika AI), zdarzenia analityczne na podstawie silnika AI: wykrywanie obiektów (osoba/pojazd), wirtualna linia (przejście/kierunek), wirtualny obszar (włóczęgostwo/wtargnięcie/wejście/wyjście), zdarzenia analityczne: wykrywanie ruchu, manipulacja, wykr"&amp;"ywanie dźwięku, klasyfikacja dźwięku, wykrywanie wstrząsów, wirtualny obszar (pojawianie się/znikanie), przekazanie PTZ, wbudowane gniazdo na kartę SD (1x1TB), zintegrowana obudowa tylna, IP66, NEMA4X, IK10, PoE/12VDC, kolor biały")</f>
        <v>Kompaktowa kamera termowizyjna sieciowa serii T, 384 x 288 (bez chłodzenia); ＜20mK (NETD), maks. rozdzielczość 768 x 576 przy 8 kl./s, obiektyw o stałej ogniskowej 19 mm (HFoV: 19,3o), potrójny kodek H.265/H.264/MJPEG z obsługą WiseStream III (na podstawie silnika AI), zdarzenia analityczne na podstawie silnika AI: wykrywanie obiektów (osoba/pojazd), wirtualna linia (przejście/kierunek), wirtualny obszar (włóczęgostwo/wtargnięcie/wejście/wyjście), zdarzenia analityczne: wykrywanie ruchu, manipulacja, wykrywanie dźwięku, klasyfikacja dźwięku, wykrywanie wstrząsów, wirtualny obszar (pojawianie się/znikanie), przekazanie PTZ, wbudowane gniazdo na kartę SD (1x1TB), zintegrowana obudowa tylna, IP66, NEMA4X, IK10, PoE/12VDC, kolor biały</v>
      </c>
      <c r="K314" s="43" t="s">
        <v>21</v>
      </c>
      <c r="L314" s="44">
        <v>4500.0</v>
      </c>
      <c r="M314" s="8"/>
      <c r="N314" s="45" t="s">
        <v>22</v>
      </c>
      <c r="O314" s="97"/>
      <c r="P314" s="36"/>
      <c r="Q314" s="35"/>
      <c r="R314" s="68"/>
      <c r="S314" s="68"/>
      <c r="T314" s="68"/>
      <c r="U314" s="35"/>
      <c r="V314" s="35"/>
      <c r="W314" s="35"/>
      <c r="X314" s="35"/>
      <c r="Y314" s="35"/>
      <c r="Z314" s="35"/>
      <c r="AA314" s="35"/>
      <c r="AB314" s="35"/>
      <c r="AC314" s="60"/>
      <c r="AD314" s="85"/>
      <c r="AE314" s="85"/>
      <c r="AF314" s="85"/>
      <c r="AG314" s="85"/>
      <c r="AH314" s="85"/>
      <c r="AI314" s="85"/>
      <c r="AJ314" s="85"/>
      <c r="AK314" s="85"/>
      <c r="AL314" s="85"/>
      <c r="AM314" s="85"/>
      <c r="AN314" s="85"/>
      <c r="AO314" s="85"/>
      <c r="AP314" s="85"/>
    </row>
    <row r="315" ht="46.5" customHeight="1">
      <c r="A315" s="29"/>
      <c r="B315" s="102" t="s">
        <v>118</v>
      </c>
      <c r="C315" s="103" t="s">
        <v>954</v>
      </c>
      <c r="D315" s="104" t="s">
        <v>948</v>
      </c>
      <c r="E315" s="104" t="s">
        <v>16</v>
      </c>
      <c r="F315" s="104" t="s">
        <v>925</v>
      </c>
      <c r="G315" s="103" t="s">
        <v>18</v>
      </c>
      <c r="H315" s="105" t="s">
        <v>19</v>
      </c>
      <c r="I315" s="106" t="s">
        <v>955</v>
      </c>
      <c r="J315" s="42" t="str">
        <f>IFERROR(__xludf.DUMMYFUNCTION("GOOGLETRANSLATE(I315,""en"",""pl"")"),"Kompaktowa kamera termowizyjna sieciowa serii T, 384 x 288 (bez chłodzenia); ＜20mK (NETD), maks. rozdzielczość 768 x 576 przy 8 kl./s, obiektyw o stałej ogniskowej 13 mm (HFoV: 28,5o), potrójny kodek H.265/H.264/MJPEG z obsługą WiseStream III (na podstawi"&amp;"e silnika AI), zdarzenia analityczne na podstawie silnika AI: wykrywanie obiektów (osoba/pojazd), wirtualna linia (przejście/kierunek), wirtualny obszar (włóczęgostwo/wtargnięcie/wejście/wyjście), zdarzenia analityczne: wykrywanie ruchu, manipulacja, wykr"&amp;"ywanie dźwięku, klasyfikacja dźwięku, wykrywanie wstrząsów, wirtualny obszar (pojawianie się/znikanie), przekazanie PTZ, wbudowane gniazdo na kartę SD (1x1TB), zintegrowana obudowa tylna, IP66, NEMA4X, IK10, PoE/12VDC, kolor biały")</f>
        <v>Kompaktowa kamera termowizyjna sieciowa serii T, 384 x 288 (bez chłodzenia); ＜20mK (NETD), maks. rozdzielczość 768 x 576 przy 8 kl./s, obiektyw o stałej ogniskowej 13 mm (HFoV: 28,5o), potrójny kodek H.265/H.264/MJPEG z obsługą WiseStream III (na podstawie silnika AI), zdarzenia analityczne na podstawie silnika AI: wykrywanie obiektów (osoba/pojazd), wirtualna linia (przejście/kierunek), wirtualny obszar (włóczęgostwo/wtargnięcie/wejście/wyjście), zdarzenia analityczne: wykrywanie ruchu, manipulacja, wykrywanie dźwięku, klasyfikacja dźwięku, wykrywanie wstrząsów, wirtualny obszar (pojawianie się/znikanie), przekazanie PTZ, wbudowane gniazdo na kartę SD (1x1TB), zintegrowana obudowa tylna, IP66, NEMA4X, IK10, PoE/12VDC, kolor biały</v>
      </c>
      <c r="K315" s="43" t="s">
        <v>21</v>
      </c>
      <c r="L315" s="44">
        <v>4400.0</v>
      </c>
      <c r="M315" s="8"/>
      <c r="N315" s="45" t="s">
        <v>22</v>
      </c>
      <c r="O315" s="97"/>
      <c r="P315" s="36"/>
      <c r="Q315" s="35"/>
      <c r="R315" s="68"/>
      <c r="S315" s="68"/>
      <c r="T315" s="68"/>
      <c r="U315" s="35"/>
      <c r="V315" s="35"/>
      <c r="W315" s="35"/>
      <c r="X315" s="35"/>
      <c r="Y315" s="35"/>
      <c r="Z315" s="35"/>
      <c r="AA315" s="35"/>
      <c r="AB315" s="35"/>
      <c r="AC315" s="60"/>
      <c r="AD315" s="85"/>
      <c r="AE315" s="85"/>
      <c r="AF315" s="85"/>
      <c r="AG315" s="85"/>
      <c r="AH315" s="85"/>
      <c r="AI315" s="85"/>
      <c r="AJ315" s="85"/>
      <c r="AK315" s="85"/>
      <c r="AL315" s="85"/>
      <c r="AM315" s="85"/>
      <c r="AN315" s="85"/>
      <c r="AO315" s="85"/>
      <c r="AP315" s="85"/>
    </row>
    <row r="316" ht="46.5" customHeight="1">
      <c r="A316" s="29"/>
      <c r="B316" s="38" t="s">
        <v>118</v>
      </c>
      <c r="C316" s="39" t="s">
        <v>956</v>
      </c>
      <c r="D316" s="40" t="s">
        <v>957</v>
      </c>
      <c r="E316" s="40" t="s">
        <v>16</v>
      </c>
      <c r="F316" s="40" t="s">
        <v>958</v>
      </c>
      <c r="G316" s="39" t="s">
        <v>123</v>
      </c>
      <c r="H316" s="41" t="s">
        <v>79</v>
      </c>
      <c r="I316" s="48" t="s">
        <v>959</v>
      </c>
      <c r="J316" s="42" t="str">
        <f>IFERROR(__xludf.DUMMYFUNCTION("GOOGLETRANSLATE(I316,""en"",""pl"")"),"Kamera termowizyjna AI serii T z podwójnym spektrum i siecią typu bullet, Czujnik termiczny: stała ogniskowa 25 mm, VGA (640x480 — można skalować do SVGA 1280x960), H.265/H.264: maks. 30 kl./s/25 kl./s (AI 2CH WŁ. — 15 kl./s), MJPEG: maks. 3 kl./s, NETD ＜"&amp;"60 mK, rozmiar piksela 12㎛, 7 palet kolorów, zdarzenia analityczne oparte na silniku AI: wykrywanie obiektów (osoba/pojazd), Bestshot, IVA (wirtualna linia/obszar, wejście/wyjście, włóczęgostwo, kierunek, wtargnięcie), zatrzymany pojazd, korek uliczny, li"&amp;"czenie pojazdów, zdarzenia analityczne: wykrywanie ruchu. Widoczny czujnik: 10,9~29 mm (2,6x) z napędem silnikowym, 4K (3840x2160), H.265/H.264: maks. 30 kl./s/25 kl./s (AI 2CH ON - 15 kl./s), MJPEG: maks. 1fps, zdarzenia analityczne oparte na silniku AI "&amp;"Wykrywanie obiektów (osoba, twarz, pojazd (samochód/autobus/ciężarówka/motocykl/rower), tablica rejestracyjna), linia wirtualna (przejście/kierunek), obszar wirtualny (włóczęgostwo/wtargnięcie/wejście/wyjście), zdarzenia analityczne: wykrywanie braku ostr"&amp;"ości, wykrywanie ruchu, manipulacja, wykrywanie dźwięku, klasyfikacja dźwięku, wykrywanie wstrząsów, obszar wirtualny (pojawianie się/znikanie), funkcje kamery: 4 porty I/O, 1 x ekranowany metalem RJ-45 (10/100/1000BASE-T), uwierzytelnianie logowania TPM "&amp;"2.0 (FIPS 140-2 poziom 2) HTTPS (SSL), 2 gniazda Micro SD, każde o pojemności maks. 512 GB, PoE+ (IEEE802.3at, klasa 4), 12 V DC, IP66/IP67, IK10, NEMA4X, NEMA TS 2 (2.2.8, 2.2.9), obejmuje uchwyt na słup/montaż, nie obejmuje pasów ze stali nierdzewnej (S"&amp;"BP-100S)")</f>
        <v>Kamera termowizyjna AI serii T z podwójnym spektrum i siecią typu bullet, Czujnik termiczny: stała ogniskowa 25 mm, VGA (640x480 — można skalować do SVGA 1280x960), H.265/H.264: maks. 30 kl./s/25 kl./s (AI 2CH WŁ. — 15 kl./s), MJPEG: maks. 3 kl./s, NETD ＜60 mK, rozmiar piksela 12㎛, 7 palet kolorów, zdarzenia analityczne oparte na silniku AI: wykrywanie obiektów (osoba/pojazd), Bestshot, IVA (wirtualna linia/obszar, wejście/wyjście, włóczęgostwo, kierunek, wtargnięcie), zatrzymany pojazd, korek uliczny, liczenie pojazdów, zdarzenia analityczne: wykrywanie ruchu. Widoczny czujnik: 10,9~29 mm (2,6x) z napędem silnikowym, 4K (3840x2160), H.265/H.264: maks. 30 kl./s/25 kl./s (AI 2CH ON - 15 kl./s), MJPEG: maks. 1fps, zdarzenia analityczne oparte na silniku AI Wykrywanie obiektów (osoba, twarz, pojazd (samochód/autobus/ciężarówka/motocykl/rower), tablica rejestracyjna), linia wirtualna (przejście/kierunek), obszar wirtualny (włóczęgostwo/wtargnięcie/wejście/wyjście), zdarzenia analityczne: wykrywanie braku ostrości, wykrywanie ruchu, manipulacja, wykrywanie dźwięku, klasyfikacja dźwięku, wykrywanie wstrząsów, obszar wirtualny (pojawianie się/znikanie), funkcje kamery: 4 porty I/O, 1 x ekranowany metalem RJ-45 (10/100/1000BASE-T), uwierzytelnianie logowania TPM 2.0 (FIPS 140-2 poziom 2) HTTPS (SSL), 2 gniazda Micro SD, każde o pojemności maks. 512 GB, PoE+ (IEEE802.3at, klasa 4), 12 V DC, IP66/IP67, IK10, NEMA4X, NEMA TS 2 (2.2.8, 2.2.9), obejmuje uchwyt na słup/montaż, nie obejmuje pasów ze stali nierdzewnej (SBP-100S)</v>
      </c>
      <c r="K316" s="43" t="s">
        <v>21</v>
      </c>
      <c r="L316" s="44">
        <v>10950.0</v>
      </c>
      <c r="M316" s="8"/>
      <c r="N316" s="45" t="s">
        <v>22</v>
      </c>
      <c r="O316" s="97"/>
      <c r="P316" s="36"/>
      <c r="Q316" s="35"/>
      <c r="R316" s="68"/>
      <c r="S316" s="68"/>
      <c r="T316" s="68"/>
      <c r="U316" s="35"/>
      <c r="V316" s="35"/>
      <c r="W316" s="35"/>
      <c r="X316" s="35"/>
      <c r="Y316" s="35"/>
      <c r="Z316" s="35"/>
      <c r="AA316" s="35"/>
      <c r="AB316" s="35"/>
      <c r="AC316" s="60"/>
      <c r="AD316" s="85"/>
      <c r="AE316" s="85"/>
      <c r="AF316" s="85"/>
      <c r="AG316" s="85"/>
      <c r="AH316" s="85"/>
      <c r="AI316" s="85"/>
      <c r="AJ316" s="85"/>
      <c r="AK316" s="85"/>
      <c r="AL316" s="85"/>
      <c r="AM316" s="85"/>
      <c r="AN316" s="85"/>
      <c r="AO316" s="85"/>
      <c r="AP316" s="85"/>
    </row>
    <row r="317" ht="46.5" customHeight="1">
      <c r="A317" s="29"/>
      <c r="B317" s="38" t="s">
        <v>118</v>
      </c>
      <c r="C317" s="39" t="s">
        <v>960</v>
      </c>
      <c r="D317" s="40" t="s">
        <v>961</v>
      </c>
      <c r="E317" s="40" t="s">
        <v>16</v>
      </c>
      <c r="F317" s="40" t="s">
        <v>958</v>
      </c>
      <c r="G317" s="39" t="s">
        <v>123</v>
      </c>
      <c r="H317" s="41" t="s">
        <v>79</v>
      </c>
      <c r="I317" s="48" t="s">
        <v>962</v>
      </c>
      <c r="J317" s="42" t="str">
        <f>IFERROR(__xludf.DUMMYFUNCTION("GOOGLETRANSLATE(I317,""en"",""pl"")"),"Kamera termowizyjna AI serii T z podwójnym spektrum i siecią typu bullet, Czujnik termiczny: stała ogniskowa 13,5 mm, VGA (640x480 — można skalować do SVGA 1280x960), H.265/H.264: maks. 30 kl./s/25 kl./s (AI 2CH WŁ. — 15 kl./s), MJPEG: maks. 3 kl./s, NETD"&amp;" ＜60 mK, rozmiar piksela 12㎛, 7 palet kolorów, zdarzenia analityczne oparte na silniku AI: wykrywanie obiektów (osoba/pojazd), Bestshot, IVA (wirtualna linia/obszar, wejście/wyjście, kręcenie się, kierunek, wtargnięcie), zatrzymany pojazd, korek uliczny, "&amp;"liczenie pojazdów, zdarzenia analityczne: wykrywanie ruchu. Widoczny czujnik: 10,9~29 mm (2,6x) z napędem silnikowym, 4K (3840x2160), H.265/H.264: maks. 30 kl./s/25 kl./s (AI 2CH ON - 15 kl./s), MJPEG: maks. 1fps, zdarzenia analityczne oparte na silniku A"&amp;"I Wykrywanie obiektów (osoba, twarz, pojazd (samochód/autobus/ciężarówka/motocykl/rower), tablica rejestracyjna), linia wirtualna (przejście/kierunek), obszar wirtualny (włóczęgostwo/wtargnięcie/wejście/wyjście), zdarzenia analityczne: wykrywanie braku os"&amp;"trości, wykrywanie ruchu, manipulacja, wykrywanie dźwięku, klasyfikacja dźwięku, wykrywanie wstrząsów, obszar wirtualny (pojawianie się/znikanie), funkcje kamery: 4 porty I/O, 1 x ekranowany metalem RJ-45 (10/100/1000BASE-T), uwierzytelnianie logowania TP"&amp;"M 2.0 (FIPS 140-2 poziom 2) HTTPS (SSL), 2 gniazda Micro SD, każde o pojemności maks. 512 GB, PoE+ (IEEE802.3at, klasa 4), 12 V DC, IP66/IP67, IK10, NEMA4X, NEMA TS 2 (2.2.8, 2.2.9), obejmuje uchwyt na słup/montaż, nie obejmuje pasów ze stali nierdzewnej "&amp;"(SBP-100S)")</f>
        <v>Kamera termowizyjna AI serii T z podwójnym spektrum i siecią typu bullet, Czujnik termiczny: stała ogniskowa 13,5 mm, VGA (640x480 — można skalować do SVGA 1280x960), H.265/H.264: maks. 30 kl./s/25 kl./s (AI 2CH WŁ. — 15 kl./s), MJPEG: maks. 3 kl./s, NETD ＜60 mK, rozmiar piksela 12㎛, 7 palet kolorów, zdarzenia analityczne oparte na silniku AI: wykrywanie obiektów (osoba/pojazd), Bestshot, IVA (wirtualna linia/obszar, wejście/wyjście, kręcenie się, kierunek, wtargnięcie), zatrzymany pojazd, korek uliczny, liczenie pojazdów, zdarzenia analityczne: wykrywanie ruchu. Widoczny czujnik: 10,9~29 mm (2,6x) z napędem silnikowym, 4K (3840x2160), H.265/H.264: maks. 30 kl./s/25 kl./s (AI 2CH ON - 15 kl./s), MJPEG: maks. 1fps, zdarzenia analityczne oparte na silniku AI Wykrywanie obiektów (osoba, twarz, pojazd (samochód/autobus/ciężarówka/motocykl/rower), tablica rejestracyjna), linia wirtualna (przejście/kierunek), obszar wirtualny (włóczęgostwo/wtargnięcie/wejście/wyjście), zdarzenia analityczne: wykrywanie braku ostrości, wykrywanie ruchu, manipulacja, wykrywanie dźwięku, klasyfikacja dźwięku, wykrywanie wstrząsów, obszar wirtualny (pojawianie się/znikanie), funkcje kamery: 4 porty I/O, 1 x ekranowany metalem RJ-45 (10/100/1000BASE-T), uwierzytelnianie logowania TPM 2.0 (FIPS 140-2 poziom 2) HTTPS (SSL), 2 gniazda Micro SD, każde o pojemności maks. 512 GB, PoE+ (IEEE802.3at, klasa 4), 12 V DC, IP66/IP67, IK10, NEMA4X, NEMA TS 2 (2.2.8, 2.2.9), obejmuje uchwyt na słup/montaż, nie obejmuje pasów ze stali nierdzewnej (SBP-100S)</v>
      </c>
      <c r="K317" s="43" t="s">
        <v>21</v>
      </c>
      <c r="L317" s="44">
        <v>10500.0</v>
      </c>
      <c r="M317" s="8"/>
      <c r="N317" s="45" t="s">
        <v>22</v>
      </c>
      <c r="O317" s="97"/>
      <c r="P317" s="36"/>
      <c r="Q317" s="35"/>
      <c r="R317" s="68"/>
      <c r="S317" s="68"/>
      <c r="T317" s="68"/>
      <c r="U317" s="35"/>
      <c r="V317" s="35"/>
      <c r="W317" s="35"/>
      <c r="X317" s="35"/>
      <c r="Y317" s="35"/>
      <c r="Z317" s="35"/>
      <c r="AA317" s="35"/>
      <c r="AB317" s="35"/>
      <c r="AC317" s="60"/>
      <c r="AD317" s="85"/>
      <c r="AE317" s="85"/>
      <c r="AF317" s="85"/>
      <c r="AG317" s="85"/>
      <c r="AH317" s="85"/>
      <c r="AI317" s="85"/>
      <c r="AJ317" s="85"/>
      <c r="AK317" s="85"/>
      <c r="AL317" s="85"/>
      <c r="AM317" s="85"/>
      <c r="AN317" s="85"/>
      <c r="AO317" s="85"/>
      <c r="AP317" s="85"/>
    </row>
    <row r="318" ht="46.5" customHeight="1">
      <c r="A318" s="29"/>
      <c r="B318" s="38" t="s">
        <v>118</v>
      </c>
      <c r="C318" s="39" t="s">
        <v>963</v>
      </c>
      <c r="D318" s="40" t="s">
        <v>964</v>
      </c>
      <c r="E318" s="40" t="s">
        <v>16</v>
      </c>
      <c r="F318" s="40" t="s">
        <v>958</v>
      </c>
      <c r="G318" s="39" t="s">
        <v>123</v>
      </c>
      <c r="H318" s="41" t="s">
        <v>79</v>
      </c>
      <c r="I318" s="48" t="s">
        <v>965</v>
      </c>
      <c r="J318" s="42" t="str">
        <f>IFERROR(__xludf.DUMMYFUNCTION("GOOGLETRANSLATE(I318,""en"",""pl"")"),"Kamera termowizyjna AI serii T z podwójnym spektrum i siecią typu bullet, Czujnik termiczny: stała ogniskowa 9,1 mm, VGA (640x480 — można skalować do SVGA 1280x960), H.265/H.264: maks. 30 kl./s/25 kl./s (AI 2CH WŁ. — 15 kl./s), MJPEG: maks. 3 kl./s, NETD "&amp;"＜60 mK, rozmiar piksela 12㎛, 7 palet kolorów, zdarzenia analityczne oparte na silniku AI: wykrywanie obiektów (osoba/pojazd), Bestshot, IVA (wirtualna linia/obszar, wejście/wyjście, kręcenie się, kierunek, wtargnięcie), zatrzymany pojazd, korek uliczny, l"&amp;"iczenie pojazdów, zdarzenia analityczne: wykrywanie ruchu. Widoczny czujnik: 4,4~9,3 mm (2,2x) z napędem silnikowym, IR 30 m (98,42 stopy), 4K (3840 x 2160), H.265/H.264: maks. 30 kl./s/25 kl./s (AI 2CH ON - 15 kl./s), MJPEG: maks. 1fps, zdarzenia anality"&amp;"czne oparte na silniku AI Wykrywanie obiektów (osoba, twarz, pojazd (samochód/autobus/ciężarówka/motocykl/rower), tablica rejestracyjna), linia wirtualna (przejście/kierunek), obszar wirtualny (włóczęgostwo/wtargnięcie/wejście/wyjście), zdarzenia analityc"&amp;"zne: wykrywanie braku ostrości, wykrywanie ruchu, manipulacja, wykrywanie dźwięku, klasyfikacja dźwięku, wykrywanie wstrząsów, obszar wirtualny (pojawianie się/znikanie), funkcje kamery: 4 porty I/O, 1 x ekranowany metalem RJ-45 (10/100/1000BASE-T), uwier"&amp;"zytelnianie logowania TPM 2.0 (FIPS 140-2 poziom 2) HTTPS (SSL), 2 gniazda Micro SD, każde o pojemności maks. 512 GB, PoE+ (IEEE802.3at, klasa 4), 12 V DC, IP66/IP67, IK10, NEMA4X, NEMA TS 2 (2.2.8, 2.2.9), obejmuje uchwyt na słup/montaż, nie obejmuje pas"&amp;"ów ze stali nierdzewnej (SBP-100S)")</f>
        <v>Kamera termowizyjna AI serii T z podwójnym spektrum i siecią typu bullet, Czujnik termiczny: stała ogniskowa 9,1 mm, VGA (640x480 — można skalować do SVGA 1280x960), H.265/H.264: maks. 30 kl./s/25 kl./s (AI 2CH WŁ. — 15 kl./s), MJPEG: maks. 3 kl./s, NETD ＜60 mK, rozmiar piksela 12㎛, 7 palet kolorów, zdarzenia analityczne oparte na silniku AI: wykrywanie obiektów (osoba/pojazd), Bestshot, IVA (wirtualna linia/obszar, wejście/wyjście, kręcenie się, kierunek, wtargnięcie), zatrzymany pojazd, korek uliczny, liczenie pojazdów, zdarzenia analityczne: wykrywanie ruchu. Widoczny czujnik: 4,4~9,3 mm (2,2x) z napędem silnikowym, IR 30 m (98,42 stopy), 4K (3840 x 2160), H.265/H.264: maks. 30 kl./s/25 kl./s (AI 2CH ON - 15 kl./s), MJPEG: maks. 1fps, zdarzenia analityczne oparte na silniku AI Wykrywanie obiektów (osoba, twarz, pojazd (samochód/autobus/ciężarówka/motocykl/rower), tablica rejestracyjna), linia wirtualna (przejście/kierunek), obszar wirtualny (włóczęgostwo/wtargnięcie/wejście/wyjście), zdarzenia analityczne: wykrywanie braku ostrości, wykrywanie ruchu, manipulacja, wykrywanie dźwięku, klasyfikacja dźwięku, wykrywanie wstrząsów, obszar wirtualny (pojawianie się/znikanie), funkcje kamery: 4 porty I/O, 1 x ekranowany metalem RJ-45 (10/100/1000BASE-T), uwierzytelnianie logowania TPM 2.0 (FIPS 140-2 poziom 2) HTTPS (SSL), 2 gniazda Micro SD, każde o pojemności maks. 512 GB, PoE+ (IEEE802.3at, klasa 4), 12 V DC, IP66/IP67, IK10, NEMA4X, NEMA TS 2 (2.2.8, 2.2.9), obejmuje uchwyt na słup/montaż, nie obejmuje pasów ze stali nierdzewnej (SBP-100S)</v>
      </c>
      <c r="K318" s="43" t="s">
        <v>21</v>
      </c>
      <c r="L318" s="44">
        <v>10400.0</v>
      </c>
      <c r="M318" s="8"/>
      <c r="N318" s="45" t="s">
        <v>22</v>
      </c>
      <c r="O318" s="97"/>
      <c r="P318" s="36"/>
      <c r="Q318" s="35"/>
      <c r="R318" s="68"/>
      <c r="S318" s="68"/>
      <c r="T318" s="68"/>
      <c r="U318" s="35"/>
      <c r="V318" s="35"/>
      <c r="W318" s="35"/>
      <c r="X318" s="35"/>
      <c r="Y318" s="35"/>
      <c r="Z318" s="35"/>
      <c r="AA318" s="35"/>
      <c r="AB318" s="35"/>
      <c r="AC318" s="60"/>
      <c r="AD318" s="85"/>
      <c r="AE318" s="85"/>
      <c r="AF318" s="85"/>
      <c r="AG318" s="85"/>
      <c r="AH318" s="85"/>
      <c r="AI318" s="85"/>
      <c r="AJ318" s="85"/>
      <c r="AK318" s="85"/>
      <c r="AL318" s="85"/>
      <c r="AM318" s="85"/>
      <c r="AN318" s="85"/>
      <c r="AO318" s="85"/>
      <c r="AP318" s="85"/>
    </row>
    <row r="319" ht="46.5" customHeight="1">
      <c r="A319" s="29"/>
      <c r="B319" s="38" t="s">
        <v>118</v>
      </c>
      <c r="C319" s="39" t="s">
        <v>966</v>
      </c>
      <c r="D319" s="40" t="s">
        <v>967</v>
      </c>
      <c r="E319" s="40" t="s">
        <v>16</v>
      </c>
      <c r="F319" s="40" t="s">
        <v>958</v>
      </c>
      <c r="G319" s="39" t="s">
        <v>123</v>
      </c>
      <c r="H319" s="41" t="s">
        <v>79</v>
      </c>
      <c r="I319" s="48" t="s">
        <v>968</v>
      </c>
      <c r="J319" s="42" t="str">
        <f>IFERROR(__xludf.DUMMYFUNCTION("GOOGLETRANSLATE(I319,""en"",""pl"")"),"Kamera radiometryczna dwuspektralna AI serii T, termowizyjna: 640 x 480 (bez chłodzenia) @ 8 kl./s, &lt;60 mK (NETD), wbudowany obiektyw stałoogniskowy 9,1 mm (HFoV: 50°), widzialny: 4K, wbudowany obiektyw zmiennoogniskowy z napędem silnikowym 4,4~9,3 mm (HF"&amp;"oV: 112,1°~47,5°), maks. Rozdzielczość 3840 x 2160 @ 30fps, Potrójny kodek H.265/H.264/MJPEG z obsługą Wisestream II i WiseStream III (na podstawie silnika AI), WDR 120 dB, widoczna długość podczerwieni 30 m (98 stóp), wykrywanie obiektów AI (termiczne): "&amp;"Osoba/Pojazd, wykrywanie obiektów AI (widoczne): Osoba/Twarz/Pojazd (samochód, autobus, ciężarówka, motocykl, rower)/Tablica rejestracyjna, zdarzenia analityczne na podstawie silnika AI: wirtualna linia (przejście/kierunek), wirtualny obszar (włóczęgostwo"&amp;"/wtargnięcie/wejście/wyjście), dodatkowe zdarzenia analityczne (termiczne): wykrywanie ruchu, dodatkowe zdarzenia analityczne (widoczne): wykrywanie ruchu, wykrywanie braku ostrości, manipulacja, wykrywanie dźwięku, klasyfikacja dźwięku, wykrywanie wstrzą"&amp;"sów, wirtualny obszar (pojawienie się/zniknięcie), zdarzenia alarmowe: przesyłanie obrazu (e-mail/FTP), powiadomienie (e-mail), nagrywanie (edge/NAS), Wyjście alarmowe, Handover (ustawienie wstępne PTZ, wiadomość HTTP/HTTPS/TCP), odtwarzanie klipów audio,"&amp;" MQTT (publikacja), Radiometria: cały obszar FOV lub do 10 programowalnych przez użytkownika czworokątnych obszarów ROI, zakres wykrywania temperatury od -20oC do 130oC (-4oF do 266oF), FIPS 140-2, 2 gniazda na karty micro SD obsługujące do 512 GB każde, "&amp;"IP66/IP67, IK10, NEMA4X, NEMA TS 2 (2.2.8, 2.2.9), PoE+/12VDC")</f>
        <v>Kamera radiometryczna dwuspektralna AI serii T, termowizyjna: 640 x 480 (bez chłodzenia) @ 8 kl./s, &lt;60 mK (NETD), wbudowany obiektyw stałoogniskowy 9,1 mm (HFoV: 50°), widzialny: 4K, wbudowany obiektyw zmiennoogniskowy z napędem silnikowym 4,4~9,3 mm (HFoV: 112,1°~47,5°), maks. Rozdzielczość 3840 x 2160 @ 30fps, Potrójny kodek H.265/H.264/MJPEG z obsługą Wisestream II i WiseStream III (na podstawie silnika AI), WDR 120 dB, widoczna długość podczerwieni 30 m (98 stóp), wykrywanie obiektów AI (termiczne): Osoba/Pojazd, wykrywanie obiektów AI (widoczne): Osoba/Twarz/Pojazd (samochód, autobus, ciężarówka, motocykl, rower)/Tablica rejestracyjna, zdarzenia analityczne na podstawie silnika AI: wirtualna linia (przejście/kierunek), wirtualny obszar (włóczęgostwo/wtargnięcie/wejście/wyjście), dodatkowe zdarzenia analityczne (termiczne): wykrywanie ruchu, dodatkowe zdarzenia analityczne (widoczne): wykrywanie ruchu, wykrywanie braku ostrości, manipulacja, wykrywanie dźwięku, klasyfikacja dźwięku, wykrywanie wstrząsów, wirtualny obszar (pojawienie się/zniknięcie), zdarzenia alarmowe: przesyłanie obrazu (e-mail/FTP), powiadomienie (e-mail), nagrywanie (edge/NAS), Wyjście alarmowe, Handover (ustawienie wstępne PTZ, wiadomość HTTP/HTTPS/TCP), odtwarzanie klipów audio, MQTT (publikacja), Radiometria: cały obszar FOV lub do 10 programowalnych przez użytkownika czworokątnych obszarów ROI, zakres wykrywania temperatury od -20oC do 130oC (-4oF do 266oF), FIPS 140-2, 2 gniazda na karty micro SD obsługujące do 512 GB każde, IP66/IP67, IK10, NEMA4X, NEMA TS 2 (2.2.8, 2.2.9), PoE+/12VDC</v>
      </c>
      <c r="K319" s="43" t="s">
        <v>21</v>
      </c>
      <c r="L319" s="44">
        <v>11450.0</v>
      </c>
      <c r="M319" s="8"/>
      <c r="N319" s="45" t="s">
        <v>22</v>
      </c>
      <c r="O319" s="97"/>
      <c r="P319" s="36"/>
      <c r="Q319" s="35"/>
      <c r="R319" s="68"/>
      <c r="S319" s="68"/>
      <c r="T319" s="68"/>
      <c r="U319" s="35"/>
      <c r="V319" s="35"/>
      <c r="W319" s="35"/>
      <c r="X319" s="35"/>
      <c r="Y319" s="35"/>
      <c r="Z319" s="35"/>
      <c r="AA319" s="35"/>
      <c r="AB319" s="35"/>
      <c r="AC319" s="60"/>
      <c r="AD319" s="85"/>
      <c r="AE319" s="85"/>
      <c r="AF319" s="85"/>
      <c r="AG319" s="85"/>
      <c r="AH319" s="85"/>
      <c r="AI319" s="85"/>
      <c r="AJ319" s="85"/>
      <c r="AK319" s="85"/>
      <c r="AL319" s="85"/>
      <c r="AM319" s="85"/>
      <c r="AN319" s="85"/>
      <c r="AO319" s="85"/>
      <c r="AP319" s="85"/>
    </row>
    <row r="320" ht="46.5" customHeight="1">
      <c r="A320" s="29"/>
      <c r="B320" s="38" t="s">
        <v>118</v>
      </c>
      <c r="C320" s="39" t="s">
        <v>969</v>
      </c>
      <c r="D320" s="40" t="s">
        <v>967</v>
      </c>
      <c r="E320" s="40" t="s">
        <v>16</v>
      </c>
      <c r="F320" s="40" t="s">
        <v>958</v>
      </c>
      <c r="G320" s="39" t="s">
        <v>123</v>
      </c>
      <c r="H320" s="41" t="s">
        <v>79</v>
      </c>
      <c r="I320" s="48" t="s">
        <v>970</v>
      </c>
      <c r="J320" s="42" t="str">
        <f>IFERROR(__xludf.DUMMYFUNCTION("GOOGLETRANSLATE(I320,""en"",""pl"")"),"Kamera radiometryczna dwuspektralna AI serii T, termowizyjna: 640 x 480 (bez chłodzenia) przy 30 kl./s, &lt;60 mK (NETD), wbudowany obiektyw stałoogniskowy 9,1 mm (HFoV: 50°), widzialny: 4K, wbudowany obiektyw zmiennoogniskowy z napędem silnikowym 4,4~9,3 mm"&amp;" (HFoV: 112,1°~47,5°), maks. Rozdzielczość 3840 x 2160 @ 30fps, Potrójny kodek H.265/H.264/MJPEG z obsługą Wisestream II i WiseStream III (na podstawie silnika AI), WDR 120 dB, widoczna długość podczerwieni 30 m (98 stóp), wykrywanie obiektów AI (termiczn"&amp;"e): Osoba/Pojazd, wykrywanie obiektów AI (widoczne): Osoba/Twarz/Pojazd (samochód, autobus, ciężarówka, motocykl, rower)/Tablica rejestracyjna, zdarzenia analityczne na podstawie silnika AI: wirtualna linia (przejście/kierunek), wirtualny obszar (włóczęgo"&amp;"stwo/wtargnięcie/wejście/wyjście), dodatkowe zdarzenia analityczne (termiczne): wykrywanie ruchu, dodatkowe zdarzenia analityczne (widoczne): wykrywanie ruchu, wykrywanie braku ostrości, manipulacja, wykrywanie dźwięku, klasyfikacja dźwięku, wykrywanie ws"&amp;"trząsów, wirtualny obszar (pojawienie się/zniknięcie), zdarzenia alarmowe: przesyłanie obrazu (e-mail/FTP), powiadomienie (e-mail), nagrywanie (edge/NAS), Wyjście alarmowe, Handover (ustawienia PTZ, komunikaty HTTP/HTTPS/TCP), odtwarzanie klipów audio, MQ"&amp;"TT (publikacja), Radiometria: cały obszar FOV lub do 10 programowalnych przez użytkownika czworokątnych obszarów ROI, zakres detekcji temperatury od -20°C do 130°C (od -4°F do 266°F), FIPS 140-2, 2 gniazda na karty micro SD, obsługujące do 512 GB każda, I"&amp;"P66/IP67, IK10, NEMA4X, NEMA TS 2 (2.2.8, 2.2.9), PoE+/12 V DC
Produkt podlega umowie termicznej.")</f>
        <v>Kamera radiometryczna dwuspektralna AI serii T, termowizyjna: 640 x 480 (bez chłodzenia) przy 30 kl./s, &lt;60 mK (NETD), wbudowany obiektyw stałoogniskowy 9,1 mm (HFoV: 50°), widzialny: 4K, wbudowany obiektyw zmiennoogniskowy z napędem silnikowym 4,4~9,3 mm (HFoV: 112,1°~47,5°), maks. Rozdzielczość 3840 x 2160 @ 30fps, Potrójny kodek H.265/H.264/MJPEG z obsługą Wisestream II i WiseStream III (na podstawie silnika AI), WDR 120 dB, widoczna długość podczerwieni 30 m (98 stóp), wykrywanie obiektów AI (termiczne): Osoba/Pojazd, wykrywanie obiektów AI (widoczne): Osoba/Twarz/Pojazd (samochód, autobus, ciężarówka, motocykl, rower)/Tablica rejestracyjna, zdarzenia analityczne na podstawie silnika AI: wirtualna linia (przejście/kierunek), wirtualny obszar (włóczęgostwo/wtargnięcie/wejście/wyjście), dodatkowe zdarzenia analityczne (termiczne): wykrywanie ruchu, dodatkowe zdarzenia analityczne (widoczne): wykrywanie ruchu, wykrywanie braku ostrości, manipulacja, wykrywanie dźwięku, klasyfikacja dźwięku, wykrywanie wstrząsów, wirtualny obszar (pojawienie się/zniknięcie), zdarzenia alarmowe: przesyłanie obrazu (e-mail/FTP), powiadomienie (e-mail), nagrywanie (edge/NAS), Wyjście alarmowe, Handover (ustawienia PTZ, komunikaty HTTP/HTTPS/TCP), odtwarzanie klipów audio, MQTT (publikacja), Radiometria: cały obszar FOV lub do 10 programowalnych przez użytkownika czworokątnych obszarów ROI, zakres detekcji temperatury od -20°C do 130°C (od -4°F do 266°F), FIPS 140-2, 2 gniazda na karty micro SD, obsługujące do 512 GB każda, IP66/IP67, IK10, NEMA4X, NEMA TS 2 (2.2.8, 2.2.9), PoE+/12 V DC
Produkt podlega umowie termicznej.</v>
      </c>
      <c r="K320" s="43" t="s">
        <v>21</v>
      </c>
      <c r="L320" s="44">
        <v>11450.0</v>
      </c>
      <c r="M320" s="8"/>
      <c r="N320" s="45" t="s">
        <v>22</v>
      </c>
      <c r="O320" s="97"/>
      <c r="P320" s="36"/>
      <c r="Q320" s="35"/>
      <c r="R320" s="68"/>
      <c r="S320" s="68"/>
      <c r="T320" s="68"/>
      <c r="U320" s="35"/>
      <c r="V320" s="35"/>
      <c r="W320" s="35"/>
      <c r="X320" s="35"/>
      <c r="Y320" s="35"/>
      <c r="Z320" s="35"/>
      <c r="AA320" s="35"/>
      <c r="AB320" s="35"/>
      <c r="AC320" s="60"/>
      <c r="AD320" s="85"/>
      <c r="AE320" s="85"/>
      <c r="AF320" s="85"/>
      <c r="AG320" s="85"/>
      <c r="AH320" s="85"/>
      <c r="AI320" s="85"/>
      <c r="AJ320" s="85"/>
      <c r="AK320" s="85"/>
      <c r="AL320" s="85"/>
      <c r="AM320" s="85"/>
      <c r="AN320" s="85"/>
      <c r="AO320" s="85"/>
      <c r="AP320" s="85"/>
    </row>
    <row r="321" ht="46.5" customHeight="1">
      <c r="A321" s="29"/>
      <c r="B321" s="38" t="s">
        <v>118</v>
      </c>
      <c r="C321" s="39" t="s">
        <v>971</v>
      </c>
      <c r="D321" s="40" t="s">
        <v>972</v>
      </c>
      <c r="E321" s="40" t="s">
        <v>16</v>
      </c>
      <c r="F321" s="40" t="s">
        <v>973</v>
      </c>
      <c r="G321" s="39" t="s">
        <v>123</v>
      </c>
      <c r="H321" s="41" t="s">
        <v>79</v>
      </c>
      <c r="I321" s="48" t="s">
        <v>974</v>
      </c>
      <c r="J321" s="42" t="str">
        <f>IFERROR(__xludf.DUMMYFUNCTION("GOOGLETRANSLATE(I321,""en"",""pl"")"),"Kamera radiometryczna dwuspektralna AI serii T, termowizyjna: 320 x 240 (bez chłodzenia) @ 8 kl./s, &lt;50 mK (NETD), wbudowany obiektyw stałoogniskowy 4,7 mm (HFoV: 50°), widzialny: 2 MP, wbudowany obiektyw stałoogniskowy 4 mm (HFoV: 87,6°), maks. Rozdzielc"&amp;"zość 1920 x 1080 @ 30fps, potrójny kodek H.265/H.264/MJPEG ze wsparciem Wisestream II, extremeWDR 150dB, wykrywanie obiektów AI (widocznych tylko) Osoba/Twarz, zdarzenia analityczne: wykrywanie kierunkowe, wykrywanie ruchu, wejście/wyjście, manipulacja, l"&amp;"inia wirtualna, wykrywanie dźwięku, zdarzenia alarmowe: przesyłanie obrazu (e-mail/FTP), powiadomienie (e-mail), nagrywanie (edge/NAS), wyjście alarmowe, przekazanie (ustawienie PTZ, wiadomość HTTP/HTTPS/TCP), odtwarzanie klipu audio, MQTT (publikacja), r"&amp;"adiometria: cały obszar FOV lub do 6 programowalnych przez użytkownika czworokątnych obszarów zainteresowania, zakres wykrywania temperatury od -20oC do 130oC (-4oF do 266oF), FIPS 140-2, 1 gniazdo na kartę micro SD o pojemności do 256 GB, PoE+/12VDC. Kom"&amp;"patybilny ze sprzedawanymi oddzielnie akcesoriami do montażu ściennego SBP-142WMW i sufitowego SBP-142CMW")</f>
        <v>Kamera radiometryczna dwuspektralna AI serii T, termowizyjna: 320 x 240 (bez chłodzenia) @ 8 kl./s, &lt;50 mK (NETD), wbudowany obiektyw stałoogniskowy 4,7 mm (HFoV: 50°), widzialny: 2 MP, wbudowany obiektyw stałoogniskowy 4 mm (HFoV: 87,6°), maks. Rozdzielczość 1920 x 1080 @ 30fps, potrójny kodek H.265/H.264/MJPEG ze wsparciem Wisestream II, extremeWDR 150dB, wykrywanie obiektów AI (widocznych tylko) Osoba/Twarz, zdarzenia analityczne: wykrywanie kierunkowe, wykrywanie ruchu, wejście/wyjście, manipulacja, linia wirtualna, wykrywanie dźwięku, zdarzenia alarmowe: przesyłanie obrazu (e-mail/FTP), powiadomienie (e-mail), nagrywanie (edge/NAS), wyjście alarmowe, przekazanie (ustawienie PTZ, wiadomość HTTP/HTTPS/TCP), odtwarzanie klipu audio, MQTT (publikacja), radiometria: cały obszar FOV lub do 6 programowalnych przez użytkownika czworokątnych obszarów zainteresowania, zakres wykrywania temperatury od -20oC do 130oC (-4oF do 266oF), FIPS 140-2, 1 gniazdo na kartę micro SD o pojemności do 256 GB, PoE+/12VDC. Kompatybilny ze sprzedawanymi oddzielnie akcesoriami do montażu ściennego SBP-142WMW i sufitowego SBP-142CMW</v>
      </c>
      <c r="K321" s="43" t="s">
        <v>21</v>
      </c>
      <c r="L321" s="44">
        <v>7600.0</v>
      </c>
      <c r="M321" s="8"/>
      <c r="N321" s="45" t="s">
        <v>22</v>
      </c>
      <c r="O321" s="97"/>
      <c r="P321" s="36"/>
      <c r="Q321" s="35"/>
      <c r="R321" s="68"/>
      <c r="S321" s="68"/>
      <c r="T321" s="68"/>
      <c r="U321" s="35"/>
      <c r="V321" s="35"/>
      <c r="W321" s="35"/>
      <c r="X321" s="35"/>
      <c r="Y321" s="35"/>
      <c r="Z321" s="35"/>
      <c r="AA321" s="35"/>
      <c r="AB321" s="35"/>
      <c r="AC321" s="60"/>
      <c r="AD321" s="85"/>
      <c r="AE321" s="85"/>
      <c r="AF321" s="85"/>
      <c r="AG321" s="85"/>
      <c r="AH321" s="85"/>
      <c r="AI321" s="85"/>
      <c r="AJ321" s="85"/>
      <c r="AK321" s="85"/>
      <c r="AL321" s="85"/>
      <c r="AM321" s="85"/>
      <c r="AN321" s="85"/>
      <c r="AO321" s="85"/>
      <c r="AP321" s="85"/>
    </row>
    <row r="322" ht="46.5" customHeight="1">
      <c r="A322" s="29"/>
      <c r="B322" s="38" t="s">
        <v>118</v>
      </c>
      <c r="C322" s="39" t="s">
        <v>975</v>
      </c>
      <c r="D322" s="40" t="s">
        <v>972</v>
      </c>
      <c r="E322" s="40" t="s">
        <v>16</v>
      </c>
      <c r="F322" s="40" t="s">
        <v>973</v>
      </c>
      <c r="G322" s="39" t="s">
        <v>123</v>
      </c>
      <c r="H322" s="41" t="s">
        <v>79</v>
      </c>
      <c r="I322" s="48" t="s">
        <v>976</v>
      </c>
      <c r="J322" s="42" t="str">
        <f>IFERROR(__xludf.DUMMYFUNCTION("GOOGLETRANSLATE(I322,""en"",""pl"")"),"Kamera radiometryczna dwuspektralna AI serii T, termowizyjna: 320 x 240 (bez chłodzenia) @ 30 kl./s, &lt;50 mK (NETD), wbudowany obiektyw stałoogniskowy 4,7 mm (HFoV: 50°), widzialny: 2 MP, wbudowany obiektyw stałoogniskowy 4 mm (HFoV: 87,6°), maks. Rozdziel"&amp;"czość 1920 x 1080 przy 30 kl./s, Triplecodec H.265/H.264/MJPEG z obsługą Wisestream II, extremeWDR 150 dB, detekcja obiektów AI (tylko widoczne) Osoba/Twarz, zdarzenia analityczne: detekcja kierunkowa, detekcja ruchu, wejście/wyjście, manipulacja, linia w"&amp;"irtualna, detekcja dźwięku, zdarzenia alarmowe: przesyłanie obrazu (e-mail/FTP), powiadomienie (e-mail), nagrywanie (edge/NAS), wyjście alarmowe, przekazanie (ustawienie PTZ, wiadomość HTTP/HTTPS/TCP), odtwarzanie klipu audio, MQTT (publikacja), radiometr"&amp;"ia: cały obszar pola widzenia lub do 6 programowalnych przez użytkownika obszarów zainteresowania (ROI), zakres detekcji temperatury od -20°C do 130°C (od -4°F do 266°F), FIPS 140-2, 1 gniazdo na kartę micro SD o pojemności do 256 GB, PoE+/12 V DC
Niniejs"&amp;"zy produkt podlega warunkom Umowa termiczna. Kompatybilny ze sprzedawanymi oddzielnie akcesoriami do montażu ściennego SBP-142WMW i sufitowego SBP-142CMW.")</f>
        <v>Kamera radiometryczna dwuspektralna AI serii T, termowizyjna: 320 x 240 (bez chłodzenia) @ 30 kl./s, &lt;50 mK (NETD), wbudowany obiektyw stałoogniskowy 4,7 mm (HFoV: 50°), widzialny: 2 MP, wbudowany obiektyw stałoogniskowy 4 mm (HFoV: 87,6°), maks. Rozdzielczość 1920 x 1080 przy 30 kl./s, Triplecodec H.265/H.264/MJPEG z obsługą Wisestream II, extremeWDR 150 dB, detekcja obiektów AI (tylko widoczne) Osoba/Twarz, zdarzenia analityczne: detekcja kierunkowa, detekcja ruchu, wejście/wyjście, manipulacja, linia wirtualna, detekcja dźwięku, zdarzenia alarmowe: przesyłanie obrazu (e-mail/FTP), powiadomienie (e-mail), nagrywanie (edge/NAS), wyjście alarmowe, przekazanie (ustawienie PTZ, wiadomość HTTP/HTTPS/TCP), odtwarzanie klipu audio, MQTT (publikacja), radiometria: cały obszar pola widzenia lub do 6 programowalnych przez użytkownika obszarów zainteresowania (ROI), zakres detekcji temperatury od -20°C do 130°C (od -4°F do 266°F), FIPS 140-2, 1 gniazdo na kartę micro SD o pojemności do 256 GB, PoE+/12 V DC
Niniejszy produkt podlega warunkom Umowa termiczna. Kompatybilny ze sprzedawanymi oddzielnie akcesoriami do montażu ściennego SBP-142WMW i sufitowego SBP-142CMW.</v>
      </c>
      <c r="K322" s="43" t="s">
        <v>21</v>
      </c>
      <c r="L322" s="44">
        <v>7600.0</v>
      </c>
      <c r="M322" s="8"/>
      <c r="N322" s="45" t="s">
        <v>22</v>
      </c>
      <c r="O322" s="97"/>
      <c r="P322" s="36"/>
      <c r="Q322" s="35"/>
      <c r="R322" s="68"/>
      <c r="S322" s="68"/>
      <c r="T322" s="68"/>
      <c r="U322" s="35"/>
      <c r="V322" s="35"/>
      <c r="W322" s="35"/>
      <c r="X322" s="35"/>
      <c r="Y322" s="35"/>
      <c r="Z322" s="35"/>
      <c r="AA322" s="35"/>
      <c r="AB322" s="35"/>
      <c r="AC322" s="60"/>
      <c r="AD322" s="85"/>
      <c r="AE322" s="85"/>
      <c r="AF322" s="85"/>
      <c r="AG322" s="85"/>
      <c r="AH322" s="85"/>
      <c r="AI322" s="85"/>
      <c r="AJ322" s="85"/>
      <c r="AK322" s="85"/>
      <c r="AL322" s="85"/>
      <c r="AM322" s="85"/>
      <c r="AN322" s="85"/>
      <c r="AO322" s="85"/>
      <c r="AP322" s="85"/>
    </row>
    <row r="323" ht="46.5" customHeight="1">
      <c r="A323" s="29"/>
      <c r="B323" s="38" t="s">
        <v>118</v>
      </c>
      <c r="C323" s="39" t="s">
        <v>977</v>
      </c>
      <c r="D323" s="40" t="s">
        <v>978</v>
      </c>
      <c r="E323" s="40" t="s">
        <v>16</v>
      </c>
      <c r="F323" s="40" t="s">
        <v>979</v>
      </c>
      <c r="G323" s="39" t="s">
        <v>123</v>
      </c>
      <c r="H323" s="41" t="s">
        <v>19</v>
      </c>
      <c r="I323" s="48" t="s">
        <v>980</v>
      </c>
      <c r="J323" s="42" t="str">
        <f>IFERROR(__xludf.DUMMYFUNCTION("GOOGLETRANSLATE(I323,""en"",""pl"")"),"Kamera sieciowa dwuspektralna do wczesnego wykrywania pożaru serii T, termowizyjna: 160 x 120 (bez chłodzenia) @ 8 kl./s, &lt;50 mK (NETD), wbudowany obiektyw stałoogniskowy 1,9 mm (57° HFoV / 44° VFoV), widzialny: 3 MP, wbudowany obiektyw stałoogniskowy 4,4"&amp;"6 mm (69° HFoV / 50,8° VFoV), maks. Rozdzielczość 2048 x 1536 @ 30fps, Potrójny kodek H.265/H.264/MJPEG ze wsparciem Wisestream II, Analityka (termiczna): wykrywanie temperatury, wykrywanie różnicy temperatur, wykrywanie ruchu, Analityka (widoczna): wczes"&amp;"ne wykrywanie pożaru, wykrywanie ruchu, wykrywanie dźwięku, manipulacja, Zdarzenia alarmowe: przesyłanie obrazu (e-mail/FTP), powiadomienie (e-mail), nagrywanie (edge/NAS), wyjście alarmowe, przekazanie (ustawienie PTZ, wiadomość HTTP/HTTPS/TCP), odtwarza"&amp;"nie klipu audio, MQTT (publikacja), Wczesne wykrywanie pożaru: 3 programowalne przez użytkownika czworokątne obszary zainteresowania, Radiometryczne: 2 programowalne przez użytkownika czworokątne obszary zainteresowania, zakres wykrywania temperatury od -"&amp;"10°C do 450°C (-14°F do 842°F), karta micro SD (512 GB x1), PoE (802.3af)")</f>
        <v>Kamera sieciowa dwuspektralna do wczesnego wykrywania pożaru serii T, termowizyjna: 160 x 120 (bez chłodzenia) @ 8 kl./s, &lt;50 mK (NETD), wbudowany obiektyw stałoogniskowy 1,9 mm (57° HFoV / 44° VFoV), widzialny: 3 MP, wbudowany obiektyw stałoogniskowy 4,46 mm (69° HFoV / 50,8° VFoV), maks. Rozdzielczość 2048 x 1536 @ 30fps, Potrójny kodek H.265/H.264/MJPEG ze wsparciem Wisestream II, Analityka (termiczna): wykrywanie temperatury, wykrywanie różnicy temperatur, wykrywanie ruchu, Analityka (widoczna): wczesne wykrywanie pożaru, wykrywanie ruchu, wykrywanie dźwięku, manipulacja, Zdarzenia alarmowe: przesyłanie obrazu (e-mail/FTP), powiadomienie (e-mail), nagrywanie (edge/NAS), wyjście alarmowe, przekazanie (ustawienie PTZ, wiadomość HTTP/HTTPS/TCP), odtwarzanie klipu audio, MQTT (publikacja), Wczesne wykrywanie pożaru: 3 programowalne przez użytkownika czworokątne obszary zainteresowania, Radiometryczne: 2 programowalne przez użytkownika czworokątne obszary zainteresowania, zakres wykrywania temperatury od -10°C do 450°C (-14°F do 842°F), karta micro SD (512 GB x1), PoE (802.3af)</v>
      </c>
      <c r="K323" s="43" t="s">
        <v>21</v>
      </c>
      <c r="L323" s="44">
        <v>2550.0</v>
      </c>
      <c r="M323" s="8"/>
      <c r="N323" s="45" t="s">
        <v>22</v>
      </c>
      <c r="O323" s="97"/>
      <c r="P323" s="36"/>
      <c r="Q323" s="35"/>
      <c r="R323" s="68"/>
      <c r="S323" s="68"/>
      <c r="T323" s="68"/>
      <c r="U323" s="35"/>
      <c r="V323" s="35"/>
      <c r="W323" s="35"/>
      <c r="X323" s="35"/>
      <c r="Y323" s="35"/>
      <c r="Z323" s="35"/>
      <c r="AA323" s="35"/>
      <c r="AB323" s="35"/>
      <c r="AC323" s="60"/>
      <c r="AD323" s="85"/>
      <c r="AE323" s="85"/>
      <c r="AF323" s="85"/>
      <c r="AG323" s="85"/>
      <c r="AH323" s="85"/>
      <c r="AI323" s="85"/>
      <c r="AJ323" s="85"/>
      <c r="AK323" s="85"/>
      <c r="AL323" s="85"/>
      <c r="AM323" s="85"/>
      <c r="AN323" s="85"/>
      <c r="AO323" s="85"/>
      <c r="AP323" s="85"/>
    </row>
    <row r="324" ht="46.5" customHeight="1">
      <c r="A324" s="29"/>
      <c r="B324" s="38" t="s">
        <v>118</v>
      </c>
      <c r="C324" s="39" t="s">
        <v>981</v>
      </c>
      <c r="D324" s="40" t="s">
        <v>978</v>
      </c>
      <c r="E324" s="40" t="s">
        <v>16</v>
      </c>
      <c r="F324" s="40" t="s">
        <v>979</v>
      </c>
      <c r="G324" s="39" t="s">
        <v>123</v>
      </c>
      <c r="H324" s="41" t="s">
        <v>19</v>
      </c>
      <c r="I324" s="48" t="s">
        <v>982</v>
      </c>
      <c r="J324" s="42" t="str">
        <f>IFERROR(__xludf.DUMMYFUNCTION("GOOGLETRANSLATE(I324,""en"",""pl"")"),"Kamera sieciowa dwuzakresowa do wczesnego wykrywania pożaru serii T, termowizyjna: 160 x 120 (bez chłodzenia) @ 8 kl./s, &lt;50 mK (NETD), wbudowany obiektyw stałoogniskowy 1,2 mm (95° HFoV / 69° VFoV), widzialny: 3 MP, wbudowany obiektyw stałoogniskowy 3,06"&amp;" mm (100° HFoV / 73° VFoV), maks. Rozdzielczość 2048 x 1536 @ 30fps, Potrójny kodek H.265/H.264/MJPEG ze wsparciem Wisestream II, Analityka (termiczna): wykrywanie temperatury, wykrywanie różnicy temperatur, wykrywanie ruchu, Analityka (widoczna): wczesne"&amp;" wykrywanie pożaru, wykrywanie ruchu, wykrywanie dźwięku, manipulacja, Zdarzenia alarmowe: przesyłanie obrazu (e-mail/FTP), powiadomienie (e-mail), nagrywanie (edge/NAS), wyjście alarmowe, przekazanie (ustawienie PTZ, wiadomość HTTP/HTTPS/TCP), odtwarzani"&amp;"e klipu audio, MQTT (publikacja), Wczesne wykrywanie pożaru: 3 programowalne przez użytkownika czworokątne obszary zainteresowania, Radiometryczne: 2 programowalne przez użytkownika czworokątne obszary zainteresowania, zakres wykrywania temperatury od -10"&amp;"°C do 450°C (-14°F do 842°F), karta micro SD (512 GB x1), PoE (802.3af)")</f>
        <v>Kamera sieciowa dwuzakresowa do wczesnego wykrywania pożaru serii T, termowizyjna: 160 x 120 (bez chłodzenia) @ 8 kl./s, &lt;50 mK (NETD), wbudowany obiektyw stałoogniskowy 1,2 mm (95° HFoV / 69° VFoV), widzialny: 3 MP, wbudowany obiektyw stałoogniskowy 3,06 mm (100° HFoV / 73° VFoV), maks. Rozdzielczość 2048 x 1536 @ 30fps, Potrójny kodek H.265/H.264/MJPEG ze wsparciem Wisestream II, Analityka (termiczna): wykrywanie temperatury, wykrywanie różnicy temperatur, wykrywanie ruchu, Analityka (widoczna): wczesne wykrywanie pożaru, wykrywanie ruchu, wykrywanie dźwięku, manipulacja, Zdarzenia alarmowe: przesyłanie obrazu (e-mail/FTP), powiadomienie (e-mail), nagrywanie (edge/NAS), wyjście alarmowe, przekazanie (ustawienie PTZ, wiadomość HTTP/HTTPS/TCP), odtwarzanie klipu audio, MQTT (publikacja), Wczesne wykrywanie pożaru: 3 programowalne przez użytkownika czworokątne obszary zainteresowania, Radiometryczne: 2 programowalne przez użytkownika czworokątne obszary zainteresowania, zakres wykrywania temperatury od -10°C do 450°C (-14°F do 842°F), karta micro SD (512 GB x1), PoE (802.3af)</v>
      </c>
      <c r="K324" s="43" t="s">
        <v>21</v>
      </c>
      <c r="L324" s="44">
        <v>2300.0</v>
      </c>
      <c r="M324" s="8"/>
      <c r="N324" s="45" t="s">
        <v>22</v>
      </c>
      <c r="O324" s="97"/>
      <c r="P324" s="36"/>
      <c r="Q324" s="35"/>
      <c r="R324" s="68"/>
      <c r="S324" s="68"/>
      <c r="T324" s="68"/>
      <c r="U324" s="35"/>
      <c r="V324" s="35"/>
      <c r="W324" s="35"/>
      <c r="X324" s="35"/>
      <c r="Y324" s="35"/>
      <c r="Z324" s="35"/>
      <c r="AA324" s="35"/>
      <c r="AB324" s="35"/>
      <c r="AC324" s="60"/>
      <c r="AD324" s="85"/>
      <c r="AE324" s="85"/>
      <c r="AF324" s="85"/>
      <c r="AG324" s="85"/>
      <c r="AH324" s="85"/>
      <c r="AI324" s="85"/>
      <c r="AJ324" s="85"/>
      <c r="AK324" s="85"/>
      <c r="AL324" s="85"/>
      <c r="AM324" s="85"/>
      <c r="AN324" s="85"/>
      <c r="AO324" s="85"/>
      <c r="AP324" s="85"/>
    </row>
    <row r="325" ht="79.5" customHeight="1">
      <c r="A325" s="29"/>
      <c r="B325" s="38" t="s">
        <v>118</v>
      </c>
      <c r="C325" s="39" t="s">
        <v>983</v>
      </c>
      <c r="D325" s="40" t="s">
        <v>984</v>
      </c>
      <c r="E325" s="40" t="s">
        <v>16</v>
      </c>
      <c r="F325" s="40" t="s">
        <v>985</v>
      </c>
      <c r="G325" s="39" t="s">
        <v>18</v>
      </c>
      <c r="H325" s="41" t="s">
        <v>19</v>
      </c>
      <c r="I325" s="48" t="s">
        <v>986</v>
      </c>
      <c r="J325" s="42" t="str">
        <f>IFERROR(__xludf.DUMMYFUNCTION("GOOGLETRANSLATE(I325,""en"",""pl"")"),"Zewnętrzna kamera termowizyjna sieciowa typu bullet z serii T, VGA @30fps, obiektyw stałoogniskowy 35 mm (17,2°), potrójny kodek H.265/H.264/MJPEG z technologią WiseStream II, strumieniowanie wielokrotne, widok korytarza, wykrywanie ruchu, wykrywanie mani"&amp;"pulacji, przekazywanie, 7 palet kolorów, cyfrowa stabilizacja obrazu z wbudowanym czujnikiem żyroskopowym, dwukierunkowy dźwięk i gniazdo na karty microSD/SDHC/SDXC, IP66, IK10, Nema 4X, PoE/12 V DC/24 V AC")</f>
        <v>Zewnętrzna kamera termowizyjna sieciowa typu bullet z serii T, VGA @30fps, obiektyw stałoogniskowy 35 mm (17,2°), potrójny kodek H.265/H.264/MJPEG z technologią WiseStream II, strumieniowanie wielokrotne, widok korytarza, wykrywanie ruchu, wykrywanie manipulacji, przekazywanie, 7 palet kolorów, cyfrowa stabilizacja obrazu z wbudowanym czujnikiem żyroskopowym, dwukierunkowy dźwięk i gniazdo na karty microSD/SDHC/SDXC, IP66, IK10, Nema 4X, PoE/12 V DC/24 V AC</v>
      </c>
      <c r="K325" s="43" t="s">
        <v>21</v>
      </c>
      <c r="L325" s="44">
        <v>8400.0</v>
      </c>
      <c r="M325" s="8"/>
      <c r="N325" s="45" t="s">
        <v>22</v>
      </c>
      <c r="O325" s="97"/>
      <c r="P325" s="36"/>
      <c r="Q325" s="35"/>
      <c r="R325" s="68"/>
      <c r="S325" s="68"/>
      <c r="T325" s="68"/>
      <c r="U325" s="35"/>
      <c r="V325" s="35"/>
      <c r="W325" s="35"/>
      <c r="X325" s="35"/>
      <c r="Y325" s="35"/>
      <c r="Z325" s="35"/>
      <c r="AA325" s="35"/>
      <c r="AB325" s="35"/>
      <c r="AC325" s="60"/>
      <c r="AD325" s="85"/>
      <c r="AE325" s="85"/>
      <c r="AF325" s="85"/>
      <c r="AG325" s="85"/>
      <c r="AH325" s="85"/>
      <c r="AI325" s="85"/>
      <c r="AJ325" s="85"/>
      <c r="AK325" s="85"/>
      <c r="AL325" s="85"/>
      <c r="AM325" s="85"/>
      <c r="AN325" s="85"/>
      <c r="AO325" s="85"/>
      <c r="AP325" s="85"/>
    </row>
    <row r="326" ht="79.5" customHeight="1">
      <c r="A326" s="29"/>
      <c r="B326" s="38" t="s">
        <v>118</v>
      </c>
      <c r="C326" s="39" t="s">
        <v>987</v>
      </c>
      <c r="D326" s="40" t="s">
        <v>984</v>
      </c>
      <c r="E326" s="40" t="s">
        <v>16</v>
      </c>
      <c r="F326" s="40" t="s">
        <v>985</v>
      </c>
      <c r="G326" s="39" t="s">
        <v>18</v>
      </c>
      <c r="H326" s="41" t="s">
        <v>19</v>
      </c>
      <c r="I326" s="48" t="s">
        <v>988</v>
      </c>
      <c r="J326" s="42" t="str">
        <f>IFERROR(__xludf.DUMMYFUNCTION("GOOGLETRANSLATE(I326,""en"",""pl"")"),"Kamera termowizyjna zewnętrzna sieciowa typu bullet z serii T, VGA @30fps, obiektyw stałoogniskowy 19 mm (32°), potrójny kodek H.265/H.264/MJPEG z technologią WiseStream II, strumieniowanie wielokrotne, widok korytarza, wykrywanie ruchu, wykrywanie manipu"&amp;"lacji, przekazywanie, 7 palet kolorów, cyfrowa stabilizacja obrazu z wbudowanym czujnikiem żyroskopowym, dwukierunkowy dźwięk i gniazdo na karty microSD/SDHC/SDXC, IP66, IK10, Nema 4X, PoE/12 V DC/24 V AC")</f>
        <v>Kamera termowizyjna zewnętrzna sieciowa typu bullet z serii T, VGA @30fps, obiektyw stałoogniskowy 19 mm (32°), potrójny kodek H.265/H.264/MJPEG z technologią WiseStream II, strumieniowanie wielokrotne, widok korytarza, wykrywanie ruchu, wykrywanie manipulacji, przekazywanie, 7 palet kolorów, cyfrowa stabilizacja obrazu z wbudowanym czujnikiem żyroskopowym, dwukierunkowy dźwięk i gniazdo na karty microSD/SDHC/SDXC, IP66, IK10, Nema 4X, PoE/12 V DC/24 V AC</v>
      </c>
      <c r="K326" s="43" t="s">
        <v>21</v>
      </c>
      <c r="L326" s="44">
        <v>7000.0</v>
      </c>
      <c r="M326" s="8"/>
      <c r="N326" s="45" t="s">
        <v>22</v>
      </c>
      <c r="O326" s="97"/>
      <c r="P326" s="36"/>
      <c r="Q326" s="35"/>
      <c r="R326" s="68"/>
      <c r="S326" s="68"/>
      <c r="T326" s="68"/>
      <c r="U326" s="35"/>
      <c r="V326" s="35"/>
      <c r="W326" s="35"/>
      <c r="X326" s="35"/>
      <c r="Y326" s="35"/>
      <c r="Z326" s="35"/>
      <c r="AA326" s="35"/>
      <c r="AB326" s="35"/>
      <c r="AC326" s="60"/>
      <c r="AD326" s="85"/>
      <c r="AE326" s="85"/>
      <c r="AF326" s="85"/>
      <c r="AG326" s="85"/>
      <c r="AH326" s="85"/>
      <c r="AI326" s="85"/>
      <c r="AJ326" s="85"/>
      <c r="AK326" s="85"/>
      <c r="AL326" s="85"/>
      <c r="AM326" s="85"/>
      <c r="AN326" s="85"/>
      <c r="AO326" s="85"/>
      <c r="AP326" s="85"/>
    </row>
    <row r="327" ht="79.5" customHeight="1">
      <c r="A327" s="29"/>
      <c r="B327" s="38" t="s">
        <v>118</v>
      </c>
      <c r="C327" s="39" t="s">
        <v>989</v>
      </c>
      <c r="D327" s="40" t="s">
        <v>984</v>
      </c>
      <c r="E327" s="40" t="s">
        <v>16</v>
      </c>
      <c r="F327" s="40" t="s">
        <v>985</v>
      </c>
      <c r="G327" s="39" t="s">
        <v>18</v>
      </c>
      <c r="H327" s="41" t="s">
        <v>19</v>
      </c>
      <c r="I327" s="48" t="s">
        <v>990</v>
      </c>
      <c r="J327" s="42" t="str">
        <f>IFERROR(__xludf.DUMMYFUNCTION("GOOGLETRANSLATE(I327,""en"",""pl"")"),"Kamera termowizyjna zewnętrzna sieciowa typu bullet z serii T, VGA @30fps, obiektyw stałoogniskowy 13 mm (48,6°), potrójny kodek H.265/H.264/MJPEG z technologią WiseStream II, strumieniowanie wielokrotne, widok korytarza, wykrywanie ruchu, wykrywanie mani"&amp;"pulacji, przekazywanie, 7 palet kolorów, cyfrowa stabilizacja obrazu z wbudowanym czujnikiem żyroskopowym, dwukierunkowy dźwięk i gniazdo na karty microSD/SDHC/SDXC, IP66, IK10, Nema 4X, PoE/12 V DC/24 V AC")</f>
        <v>Kamera termowizyjna zewnętrzna sieciowa typu bullet z serii T, VGA @30fps, obiektyw stałoogniskowy 13 mm (48,6°), potrójny kodek H.265/H.264/MJPEG z technologią WiseStream II, strumieniowanie wielokrotne, widok korytarza, wykrywanie ruchu, wykrywanie manipulacji, przekazywanie, 7 palet kolorów, cyfrowa stabilizacja obrazu z wbudowanym czujnikiem żyroskopowym, dwukierunkowy dźwięk i gniazdo na karty microSD/SDHC/SDXC, IP66, IK10, Nema 4X, PoE/12 V DC/24 V AC</v>
      </c>
      <c r="K327" s="43" t="s">
        <v>21</v>
      </c>
      <c r="L327" s="44">
        <v>7000.0</v>
      </c>
      <c r="M327" s="8"/>
      <c r="N327" s="45" t="s">
        <v>22</v>
      </c>
      <c r="O327" s="97"/>
      <c r="P327" s="36"/>
      <c r="Q327" s="35"/>
      <c r="R327" s="68"/>
      <c r="S327" s="68"/>
      <c r="T327" s="68"/>
      <c r="U327" s="35"/>
      <c r="V327" s="35"/>
      <c r="W327" s="35"/>
      <c r="X327" s="35"/>
      <c r="Y327" s="35"/>
      <c r="Z327" s="35"/>
      <c r="AA327" s="35"/>
      <c r="AB327" s="35"/>
      <c r="AC327" s="60"/>
      <c r="AD327" s="85"/>
      <c r="AE327" s="85"/>
      <c r="AF327" s="85"/>
      <c r="AG327" s="85"/>
      <c r="AH327" s="85"/>
      <c r="AI327" s="85"/>
      <c r="AJ327" s="85"/>
      <c r="AK327" s="85"/>
      <c r="AL327" s="85"/>
      <c r="AM327" s="85"/>
      <c r="AN327" s="85"/>
      <c r="AO327" s="85"/>
      <c r="AP327" s="85"/>
    </row>
    <row r="328" ht="84.75" customHeight="1">
      <c r="A328" s="29"/>
      <c r="B328" s="38" t="s">
        <v>118</v>
      </c>
      <c r="C328" s="39" t="s">
        <v>991</v>
      </c>
      <c r="D328" s="40" t="s">
        <v>992</v>
      </c>
      <c r="E328" s="40" t="s">
        <v>16</v>
      </c>
      <c r="F328" s="40" t="s">
        <v>925</v>
      </c>
      <c r="G328" s="39" t="s">
        <v>18</v>
      </c>
      <c r="H328" s="41" t="s">
        <v>19</v>
      </c>
      <c r="I328" s="48" t="s">
        <v>993</v>
      </c>
      <c r="J328" s="42" t="str">
        <f>IFERROR(__xludf.DUMMYFUNCTION("GOOGLETRANSLATE(I328,""en"",""pl"")"),"Kamera termowizyjna zewnętrzna sieciowa typu bullet z serii T, QVGA @30fps, obiektyw stałoogniskowy 2,7 ​​mm (92°), potrójny kodek H.265/H.264/MJPEG z WiseStream II, strumieniowanie wielokrotne, zaawansowana analiza wideo i klasyfikacja dźwięku, widok kor"&amp;"ytarza, wykrywanie ruchu, wykrywanie wstrząsów, wykrywanie temperatury, przekazywanie, 7 palet kolorów, cyfrowa stabilizacja obrazu z wbudowanym czujnikiem żyroskopowym, dwukierunkowy dźwięk i gniazdo microSD/SDHC/SDXC, IP66, IK10, Nema 4X, PoE/12 V DC/24"&amp;" V AC")</f>
        <v>Kamera termowizyjna zewnętrzna sieciowa typu bullet z serii T, QVGA @30fps, obiektyw stałoogniskowy 2,7 ​​mm (92°), potrójny kodek H.265/H.264/MJPEG z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microSD/SDHC/SDXC, IP66, IK10, Nema 4X, PoE/12 V DC/24 V AC</v>
      </c>
      <c r="K328" s="43" t="s">
        <v>21</v>
      </c>
      <c r="L328" s="44">
        <v>4035.0</v>
      </c>
      <c r="M328" s="8"/>
      <c r="N328" s="45" t="s">
        <v>22</v>
      </c>
      <c r="O328" s="97"/>
      <c r="P328" s="36"/>
      <c r="Q328" s="35"/>
      <c r="R328" s="68"/>
      <c r="S328" s="68"/>
      <c r="T328" s="68"/>
      <c r="U328" s="35"/>
      <c r="V328" s="35"/>
      <c r="W328" s="35"/>
      <c r="X328" s="35"/>
      <c r="Y328" s="35"/>
      <c r="Z328" s="35"/>
      <c r="AA328" s="35"/>
      <c r="AB328" s="35"/>
      <c r="AC328" s="60"/>
      <c r="AD328" s="85"/>
      <c r="AE328" s="85"/>
      <c r="AF328" s="85"/>
      <c r="AG328" s="85"/>
      <c r="AH328" s="85"/>
      <c r="AI328" s="85"/>
      <c r="AJ328" s="85"/>
      <c r="AK328" s="85"/>
      <c r="AL328" s="85"/>
      <c r="AM328" s="85"/>
      <c r="AN328" s="85"/>
      <c r="AO328" s="85"/>
      <c r="AP328" s="85"/>
    </row>
    <row r="329" ht="84.75" customHeight="1">
      <c r="A329" s="29"/>
      <c r="B329" s="38" t="s">
        <v>118</v>
      </c>
      <c r="C329" s="39" t="s">
        <v>994</v>
      </c>
      <c r="D329" s="40" t="s">
        <v>992</v>
      </c>
      <c r="E329" s="40" t="s">
        <v>16</v>
      </c>
      <c r="F329" s="40" t="s">
        <v>925</v>
      </c>
      <c r="G329" s="39" t="s">
        <v>18</v>
      </c>
      <c r="H329" s="41" t="s">
        <v>19</v>
      </c>
      <c r="I329" s="48" t="s">
        <v>995</v>
      </c>
      <c r="J329" s="42" t="str">
        <f>IFERROR(__xludf.DUMMYFUNCTION("GOOGLETRANSLATE(I329,""en"",""pl"")"),"Kamera termowizyjna zewnętrzna sieciowa typu bullet z serii T, QVGA @30fps, obiektyw stałoogniskowy 4,7 mm (50°), potrójny kodek H.265/H.264/MJPEG z WiseStream II, strumieniowanie wielokrotne, zaawansowana analiza wideo i klasyfikacja dźwięku, widok koryt"&amp;"arza, wykrywanie ruchu, wykrywanie wstrząsów, wykrywanie temperatury, przekazywanie, 7 palet kolorów, cyfrowa stabilizacja obrazu z wbudowanym czujnikiem żyroskopowym, dwukierunkowy dźwięk i gniazdo microSD/SDHC/SDXC, IP66, IK10, Nema 4X, PoE/12 V DC/24 V"&amp;" AC")</f>
        <v>Kamera termowizyjna zewnętrzna sieciowa typu bullet z serii T, QVGA @30fps, obiektyw stałoogniskowy 4,7 mm (50°), potrójny kodek H.265/H.264/MJPEG z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microSD/SDHC/SDXC, IP66, IK10, Nema 4X, PoE/12 V DC/24 V AC</v>
      </c>
      <c r="K329" s="43" t="s">
        <v>21</v>
      </c>
      <c r="L329" s="44">
        <v>4035.0</v>
      </c>
      <c r="M329" s="8"/>
      <c r="N329" s="45" t="s">
        <v>22</v>
      </c>
      <c r="O329" s="97"/>
      <c r="P329" s="36"/>
      <c r="Q329" s="35"/>
      <c r="R329" s="68"/>
      <c r="S329" s="68"/>
      <c r="T329" s="68"/>
      <c r="U329" s="35"/>
      <c r="V329" s="35"/>
      <c r="W329" s="35"/>
      <c r="X329" s="35"/>
      <c r="Y329" s="35"/>
      <c r="Z329" s="35"/>
      <c r="AA329" s="35"/>
      <c r="AB329" s="35"/>
      <c r="AC329" s="60"/>
      <c r="AD329" s="85"/>
      <c r="AE329" s="85"/>
      <c r="AF329" s="85"/>
      <c r="AG329" s="85"/>
      <c r="AH329" s="85"/>
      <c r="AI329" s="85"/>
      <c r="AJ329" s="85"/>
      <c r="AK329" s="85"/>
      <c r="AL329" s="85"/>
      <c r="AM329" s="85"/>
      <c r="AN329" s="85"/>
      <c r="AO329" s="85"/>
      <c r="AP329" s="85"/>
    </row>
    <row r="330" ht="84.75" customHeight="1">
      <c r="A330" s="29"/>
      <c r="B330" s="38" t="s">
        <v>118</v>
      </c>
      <c r="C330" s="39" t="s">
        <v>996</v>
      </c>
      <c r="D330" s="40" t="s">
        <v>992</v>
      </c>
      <c r="E330" s="40" t="s">
        <v>16</v>
      </c>
      <c r="F330" s="40" t="s">
        <v>925</v>
      </c>
      <c r="G330" s="39" t="s">
        <v>18</v>
      </c>
      <c r="H330" s="41" t="s">
        <v>19</v>
      </c>
      <c r="I330" s="48" t="s">
        <v>997</v>
      </c>
      <c r="J330" s="42" t="str">
        <f>IFERROR(__xludf.DUMMYFUNCTION("GOOGLETRANSLATE(I330,""en"",""pl"")"),"Kamera termowizyjna zewnętrzna sieciowa typu bullet z serii T, QVGA @30fps, obiektyw stałoogniskowy 13,7 mm (16°), potrójny kodek H.265/H.264/MJPEG z WiseStream II, strumieniowanie wielokrotne, zaawansowana analiza wideo i klasyfikacja dźwięku, widok kory"&amp;"tarza, wykrywanie ruchu, wykrywanie wstrząsów, wykrywanie temperatury, przekazywanie, 7 palet kolorów, cyfrowa stabilizacja obrazu z wbudowanym czujnikiem żyroskopowym, dwukierunkowy dźwięk i gniazdo microSD/SDHC/SDXC, IP66, IK10, Nema 4X, PoE/12 V DC/24 "&amp;"V AC")</f>
        <v>Kamera termowizyjna zewnętrzna sieciowa typu bullet z serii T, QVGA @30fps, obiektyw stałoogniskowy 13,7 mm (16°), potrójny kodek H.265/H.264/MJPEG z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microSD/SDHC/SDXC, IP66, IK10, Nema 4X, PoE/12 V DC/24 V AC</v>
      </c>
      <c r="K330" s="43" t="s">
        <v>21</v>
      </c>
      <c r="L330" s="44">
        <v>4035.0</v>
      </c>
      <c r="M330" s="8"/>
      <c r="N330" s="45" t="s">
        <v>22</v>
      </c>
      <c r="O330" s="97"/>
      <c r="P330" s="36"/>
      <c r="Q330" s="35"/>
      <c r="R330" s="68"/>
      <c r="S330" s="68"/>
      <c r="T330" s="68"/>
      <c r="U330" s="35"/>
      <c r="V330" s="35"/>
      <c r="W330" s="35"/>
      <c r="X330" s="35"/>
      <c r="Y330" s="35"/>
      <c r="Z330" s="35"/>
      <c r="AA330" s="35"/>
      <c r="AB330" s="35"/>
      <c r="AC330" s="60"/>
      <c r="AD330" s="85"/>
      <c r="AE330" s="85"/>
      <c r="AF330" s="85"/>
      <c r="AG330" s="85"/>
      <c r="AH330" s="85"/>
      <c r="AI330" s="85"/>
      <c r="AJ330" s="85"/>
      <c r="AK330" s="85"/>
      <c r="AL330" s="85"/>
      <c r="AM330" s="85"/>
      <c r="AN330" s="85"/>
      <c r="AO330" s="85"/>
      <c r="AP330" s="85"/>
    </row>
    <row r="331" ht="84.75" customHeight="1">
      <c r="A331" s="29"/>
      <c r="B331" s="38" t="s">
        <v>118</v>
      </c>
      <c r="C331" s="39" t="s">
        <v>998</v>
      </c>
      <c r="D331" s="40" t="s">
        <v>992</v>
      </c>
      <c r="E331" s="40" t="s">
        <v>16</v>
      </c>
      <c r="F331" s="40" t="s">
        <v>925</v>
      </c>
      <c r="G331" s="39" t="s">
        <v>18</v>
      </c>
      <c r="H331" s="41" t="s">
        <v>19</v>
      </c>
      <c r="I331" s="48" t="s">
        <v>999</v>
      </c>
      <c r="J331" s="42" t="str">
        <f>IFERROR(__xludf.DUMMYFUNCTION("GOOGLETRANSLATE(I331,""en"",""pl"")"),"Zewnętrzna kamera termowizyjna sieciowa typu bullet z serii T, QVGA @30fps, obiektyw stałoogniskowy 19 mm (11,5°), potrójny kodek H.265/H.264/MJPEG z technologią WiseStream II, strumieniowanie wielokrotne, zaawansowana analiza wideo i klasyfikacja dźwięku"&amp;", widok korytarza, wykrywanie ruchu, wykrywanie wstrząsów, wykrywanie temperatury, przekazywanie, 7 palet kolorów, cyfrowa stabilizacja obrazu z wbudowanym czujnikiem żyroskopowym, dwukierunkowy dźwięk i gniazdo na karty microSD/SDHC/SDXC, IP66, Nema 4X, "&amp;"PoE/12 V DC/24 V AC")</f>
        <v>Zewnętrzna kamera termowizyjna sieciowa typu bullet z serii T, QVGA @30fps, obiektyw stałoogniskowy 19 mm (11,5°), potrójny kodek H.265/H.264/MJPEG z technologią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na karty microSD/SDHC/SDXC, IP66, Nema 4X, PoE/12 V DC/24 V AC</v>
      </c>
      <c r="K331" s="43" t="s">
        <v>21</v>
      </c>
      <c r="L331" s="44">
        <v>4960.0</v>
      </c>
      <c r="M331" s="8"/>
      <c r="N331" s="45" t="s">
        <v>22</v>
      </c>
      <c r="O331" s="97"/>
      <c r="P331" s="36"/>
      <c r="Q331" s="35"/>
      <c r="R331" s="68"/>
      <c r="S331" s="68"/>
      <c r="T331" s="68"/>
      <c r="U331" s="35"/>
      <c r="V331" s="35"/>
      <c r="W331" s="35"/>
      <c r="X331" s="35"/>
      <c r="Y331" s="35"/>
      <c r="Z331" s="35"/>
      <c r="AA331" s="35"/>
      <c r="AB331" s="35"/>
      <c r="AC331" s="60"/>
      <c r="AD331" s="85"/>
      <c r="AE331" s="85"/>
      <c r="AF331" s="85"/>
      <c r="AG331" s="85"/>
      <c r="AH331" s="85"/>
      <c r="AI331" s="85"/>
      <c r="AJ331" s="85"/>
      <c r="AK331" s="85"/>
      <c r="AL331" s="85"/>
      <c r="AM331" s="85"/>
      <c r="AN331" s="85"/>
      <c r="AO331" s="85"/>
      <c r="AP331" s="85"/>
    </row>
    <row r="332" ht="84.75" customHeight="1">
      <c r="A332" s="29"/>
      <c r="B332" s="102" t="s">
        <v>118</v>
      </c>
      <c r="C332" s="103" t="s">
        <v>1000</v>
      </c>
      <c r="D332" s="104" t="s">
        <v>992</v>
      </c>
      <c r="E332" s="104" t="s">
        <v>16</v>
      </c>
      <c r="F332" s="104" t="s">
        <v>925</v>
      </c>
      <c r="G332" s="103" t="s">
        <v>18</v>
      </c>
      <c r="H332" s="105" t="s">
        <v>19</v>
      </c>
      <c r="I332" s="106" t="s">
        <v>1001</v>
      </c>
      <c r="J332" s="42" t="str">
        <f>IFERROR(__xludf.DUMMYFUNCTION("GOOGLETRANSLATE(I332,""en"",""pl"")"),"Kamera termowizyjna zewnętrzna sieciowa typu bullet z serii T, QVGA @30fps, obiektyw stałoogniskowy 35 mm (6,3°), potrójny kodek H.265/H.264/MJPEG z WiseStream II, strumieniowanie wielokrotne, zaawansowana analiza wideo i klasyfikacja dźwięku, widok koryt"&amp;"arza, wykrywanie ruchu, wykrywanie wstrząsów, wykrywanie temperatury, przekazywanie, 7 palet kolorów, cyfrowa stabilizacja obrazu z wbudowanym czujnikiem żyroskopowym, dwukierunkowy dźwięk i gniazdo microSD/SDHC/SDXC, IP66, Nema 4X, PoE/12 V DC/24 V AC")</f>
        <v>Kamera termowizyjna zewnętrzna sieciowa typu bullet z serii T, QVGA @30fps, obiektyw stałoogniskowy 35 mm (6,3°), potrójny kodek H.265/H.264/MJPEG z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microSD/SDHC/SDXC, IP66, Nema 4X, PoE/12 V DC/24 V AC</v>
      </c>
      <c r="K332" s="43" t="s">
        <v>21</v>
      </c>
      <c r="L332" s="128">
        <v>6200.0</v>
      </c>
      <c r="M332" s="8"/>
      <c r="N332" s="45" t="s">
        <v>22</v>
      </c>
      <c r="O332" s="97"/>
      <c r="P332" s="36"/>
      <c r="Q332" s="35"/>
      <c r="R332" s="68"/>
      <c r="S332" s="68"/>
      <c r="T332" s="68"/>
      <c r="U332" s="35"/>
      <c r="V332" s="35"/>
      <c r="W332" s="35"/>
      <c r="X332" s="35"/>
      <c r="Y332" s="35"/>
      <c r="Z332" s="35"/>
      <c r="AA332" s="35"/>
      <c r="AB332" s="35"/>
      <c r="AC332" s="60"/>
      <c r="AD332" s="85"/>
      <c r="AE332" s="85"/>
      <c r="AF332" s="85"/>
      <c r="AG332" s="85"/>
      <c r="AH332" s="85"/>
      <c r="AI332" s="85"/>
      <c r="AJ332" s="85"/>
      <c r="AK332" s="85"/>
      <c r="AL332" s="85"/>
      <c r="AM332" s="85"/>
      <c r="AN332" s="85"/>
      <c r="AO332" s="85"/>
      <c r="AP332" s="85"/>
    </row>
    <row r="333" ht="84.75" customHeight="1">
      <c r="A333" s="29"/>
      <c r="B333" s="38" t="s">
        <v>118</v>
      </c>
      <c r="C333" s="39" t="s">
        <v>1002</v>
      </c>
      <c r="D333" s="40" t="s">
        <v>992</v>
      </c>
      <c r="E333" s="40" t="s">
        <v>16</v>
      </c>
      <c r="F333" s="40" t="s">
        <v>925</v>
      </c>
      <c r="G333" s="39" t="s">
        <v>18</v>
      </c>
      <c r="H333" s="41" t="s">
        <v>19</v>
      </c>
      <c r="I333" s="48" t="s">
        <v>1003</v>
      </c>
      <c r="J333" s="42" t="str">
        <f>IFERROR(__xludf.DUMMYFUNCTION("GOOGLETRANSLATE(I333,""en"",""pl"")"),"Seria T sieciowa zewnętrzna kamera termowizyjna typu bullet, QVGA @8fps, obiektyw stały 13,7 mm (16°), potrójny kodek H.265/H.264/MJPEG z WiseStream II, strumieniowanie wielokrotne, zaawansowana analiza wideo i klasyfikacja dźwięku, widok korytarza, wykry"&amp;"wanie ruchu, wykrywanie wstrząsów, wykrywanie temperatury, przekazywanie, 7 palet kolorów, cyfrowa stabilizacja obrazu z wbudowanym czujnikiem żyroskopowym, dwukierunkowy dźwięk i gniazdo microSD/SDHC/SDXC, IP66, IK10, Nema 4X, PoE/12 V DC/24 V AC")</f>
        <v>Seria T sieciowa zewnętrzna kamera termowizyjna typu bullet, QVGA @8fps, obiektyw stały 13,7 mm (16°), potrójny kodek H.265/H.264/MJPEG z WiseStream II, strumieniowanie wielokrotne, zaawansowana analiza wideo i klasyfikacja dźwięku, widok korytarza, wykrywanie ruchu, wykrywanie wstrząsów, wykrywanie temperatury, przekazywanie, 7 palet kolorów, cyfrowa stabilizacja obrazu z wbudowanym czujnikiem żyroskopowym, dwukierunkowy dźwięk i gniazdo microSD/SDHC/SDXC, IP66, IK10, Nema 4X, PoE/12 V DC/24 V AC</v>
      </c>
      <c r="K333" s="43" t="s">
        <v>21</v>
      </c>
      <c r="L333" s="44">
        <v>4100.0</v>
      </c>
      <c r="M333" s="8"/>
      <c r="N333" s="45" t="s">
        <v>22</v>
      </c>
      <c r="O333" s="97"/>
      <c r="P333" s="36"/>
      <c r="Q333" s="35"/>
      <c r="R333" s="68"/>
      <c r="S333" s="68"/>
      <c r="T333" s="68"/>
      <c r="U333" s="35"/>
      <c r="V333" s="35"/>
      <c r="W333" s="35"/>
      <c r="X333" s="35"/>
      <c r="Y333" s="35"/>
      <c r="Z333" s="35"/>
      <c r="AA333" s="35"/>
      <c r="AB333" s="35"/>
      <c r="AC333" s="60"/>
      <c r="AD333" s="85"/>
      <c r="AE333" s="85"/>
      <c r="AF333" s="85"/>
      <c r="AG333" s="85"/>
      <c r="AH333" s="85"/>
      <c r="AI333" s="85"/>
      <c r="AJ333" s="85"/>
      <c r="AK333" s="85"/>
      <c r="AL333" s="85"/>
      <c r="AM333" s="85"/>
      <c r="AN333" s="85"/>
      <c r="AO333" s="85"/>
      <c r="AP333" s="85"/>
    </row>
    <row r="334" ht="79.5" customHeight="1">
      <c r="A334" s="29"/>
      <c r="B334" s="38" t="s">
        <v>118</v>
      </c>
      <c r="C334" s="39" t="s">
        <v>1004</v>
      </c>
      <c r="D334" s="40" t="s">
        <v>984</v>
      </c>
      <c r="E334" s="40" t="s">
        <v>16</v>
      </c>
      <c r="F334" s="40" t="s">
        <v>985</v>
      </c>
      <c r="G334" s="39" t="s">
        <v>18</v>
      </c>
      <c r="H334" s="41" t="s">
        <v>19</v>
      </c>
      <c r="I334" s="48" t="s">
        <v>1005</v>
      </c>
      <c r="J334" s="42" t="str">
        <f>IFERROR(__xludf.DUMMYFUNCTION("GOOGLETRANSLATE(I334,""en"",""pl"")"),"Kamera termowizyjna zewnętrzna sieciowa typu bullet z serii T, VGA @8fps, obiektyw stałoogniskowy 13 mm (48,6°), potrójny kodek H.265/H.264/MJPEG z WiseStream II, strumieniowanie wielokrotne, widok korytarza, wykrywanie ruchu, wykrywanie manipulacji, prze"&amp;"kazywanie, 7 palet kolorów, cyfrowa stabilizacja obrazu z wbudowanym czujnikiem żyroskopowym, dwukierunkowy dźwięk i gniazdo microSD/SDHC/SDXC, IP66, IK10, Nema 4X, PoE/12 V DC/24 V AC")</f>
        <v>Kamera termowizyjna zewnętrzna sieciowa typu bullet z serii T, VGA @8fps, obiektyw stałoogniskowy 13 mm (48,6°), potrójny kodek H.265/H.264/MJPEG z WiseStream II, strumieniowanie wielokrotne, widok korytarza, wykrywanie ruchu, wykrywanie manipulacji, przekazywanie, 7 palet kolorów, cyfrowa stabilizacja obrazu z wbudowanym czujnikiem żyroskopowym, dwukierunkowy dźwięk i gniazdo microSD/SDHC/SDXC, IP66, IK10, Nema 4X, PoE/12 V DC/24 V AC</v>
      </c>
      <c r="K334" s="43" t="s">
        <v>21</v>
      </c>
      <c r="L334" s="44">
        <v>7000.0</v>
      </c>
      <c r="M334" s="8"/>
      <c r="N334" s="45" t="s">
        <v>22</v>
      </c>
      <c r="O334" s="97"/>
      <c r="P334" s="36"/>
      <c r="Q334" s="35"/>
      <c r="R334" s="68"/>
      <c r="S334" s="68"/>
      <c r="T334" s="68"/>
      <c r="U334" s="35"/>
      <c r="V334" s="35"/>
      <c r="W334" s="35"/>
      <c r="X334" s="35"/>
      <c r="Y334" s="35"/>
      <c r="Z334" s="35"/>
      <c r="AA334" s="35"/>
      <c r="AB334" s="35"/>
      <c r="AC334" s="60"/>
      <c r="AD334" s="85"/>
      <c r="AE334" s="85"/>
      <c r="AF334" s="85"/>
      <c r="AG334" s="85"/>
      <c r="AH334" s="85"/>
      <c r="AI334" s="85"/>
      <c r="AJ334" s="85"/>
      <c r="AK334" s="85"/>
      <c r="AL334" s="85"/>
      <c r="AM334" s="85"/>
      <c r="AN334" s="85"/>
      <c r="AO334" s="85"/>
      <c r="AP334" s="85"/>
    </row>
    <row r="335" ht="79.5" customHeight="1">
      <c r="A335" s="29"/>
      <c r="B335" s="38" t="s">
        <v>118</v>
      </c>
      <c r="C335" s="39" t="s">
        <v>1006</v>
      </c>
      <c r="D335" s="40" t="s">
        <v>1007</v>
      </c>
      <c r="E335" s="40" t="s">
        <v>16</v>
      </c>
      <c r="F335" s="40" t="s">
        <v>985</v>
      </c>
      <c r="G335" s="39" t="s">
        <v>18</v>
      </c>
      <c r="H335" s="41" t="s">
        <v>19</v>
      </c>
      <c r="I335" s="48" t="s">
        <v>1008</v>
      </c>
      <c r="J335" s="42" t="str">
        <f>IFERROR(__xludf.DUMMYFUNCTION("GOOGLETRANSLATE(I335,""en"",""pl"")"),"Kamera termowizyjna radiometryczna zewnętrzna serii T, VGA @30fps, obiektyw stałoogniskowy 19 mm (32°), potrójny kodek H.265/H.264/MJPEG z WiseStream II, strumieniowanie wielokrotne, widok korytarza, wykrywanie ruchu, wykrywanie manipulacji, przekazywanie"&amp;", 7 palet kolorów, cyfrowa stabilizacja obrazu z wbudowanym czujnikiem żyroskopowym, radiometria, dwukierunkowy dźwięk i gniazdo microSD/SDHC/SDXC, IP66, IK10, Nema 4X, PoE/12 V DC/24 V AC")</f>
        <v>Kamera termowizyjna radiometryczna zewnętrzna serii T, VGA @30fps, obiektyw stałoogniskowy 19 mm (32°), potrójny kodek H.265/H.264/MJPEG z WiseStream II, strumieniowanie wielokrotne, widok korytarza, wykrywanie ruchu, wykrywanie manipulacji, przekazywanie, 7 palet kolorów, cyfrowa stabilizacja obrazu z wbudowanym czujnikiem żyroskopowym, radiometria, dwukierunkowy dźwięk i gniazdo microSD/SDHC/SDXC, IP66, IK10, Nema 4X, PoE/12 V DC/24 V AC</v>
      </c>
      <c r="K335" s="43" t="s">
        <v>21</v>
      </c>
      <c r="L335" s="44">
        <v>8400.0</v>
      </c>
      <c r="M335" s="8"/>
      <c r="N335" s="45" t="s">
        <v>22</v>
      </c>
      <c r="O335" s="97"/>
      <c r="P335" s="36"/>
      <c r="Q335" s="35"/>
      <c r="R335" s="68"/>
      <c r="S335" s="68"/>
      <c r="T335" s="68"/>
      <c r="U335" s="35"/>
      <c r="V335" s="35"/>
      <c r="W335" s="35"/>
      <c r="X335" s="35"/>
      <c r="Y335" s="35"/>
      <c r="Z335" s="35"/>
      <c r="AA335" s="35"/>
      <c r="AB335" s="35"/>
      <c r="AC335" s="60"/>
      <c r="AD335" s="85"/>
      <c r="AE335" s="85"/>
      <c r="AF335" s="85"/>
      <c r="AG335" s="85"/>
      <c r="AH335" s="85"/>
      <c r="AI335" s="85"/>
      <c r="AJ335" s="85"/>
      <c r="AK335" s="85"/>
      <c r="AL335" s="85"/>
      <c r="AM335" s="85"/>
      <c r="AN335" s="85"/>
      <c r="AO335" s="85"/>
      <c r="AP335" s="85"/>
    </row>
    <row r="336" ht="79.5" customHeight="1">
      <c r="A336" s="29"/>
      <c r="B336" s="38" t="s">
        <v>118</v>
      </c>
      <c r="C336" s="39" t="s">
        <v>1009</v>
      </c>
      <c r="D336" s="40" t="s">
        <v>1007</v>
      </c>
      <c r="E336" s="40" t="s">
        <v>16</v>
      </c>
      <c r="F336" s="40" t="s">
        <v>985</v>
      </c>
      <c r="G336" s="39" t="s">
        <v>18</v>
      </c>
      <c r="H336" s="41" t="s">
        <v>19</v>
      </c>
      <c r="I336" s="48" t="s">
        <v>1010</v>
      </c>
      <c r="J336" s="42" t="str">
        <f>IFERROR(__xludf.DUMMYFUNCTION("GOOGLETRANSLATE(I336,""en"",""pl"")"),"Kamera termowizyjna radiometryczna zewnętrzna serii T, VGA @30fps, obiektyw stałoogniskowy 13 mm (48,6°), potrójny kodek H.265/H.264/MJPEG z WiseStream II, strumieniowanie wielokrotne, widok korytarza, wykrywanie ruchu, wykrywanie manipulacji, przekazywan"&amp;"ie, 7 palet kolorów, cyfrowa stabilizacja obrazu z wbudowanym czujnikiem żyroskopowym, radiometria, dwukierunkowy dźwięk i gniazdo microSD/SDHC/SDXC, IP66, IK10, Nema 4X, PoE/12 V DC/24 V AC")</f>
        <v>Kamera termowizyjna radiometryczna zewnętrzna serii T, VGA @30fps, obiektyw stałoogniskowy 13 mm (48,6°), potrójny kodek H.265/H.264/MJPEG z WiseStream II, strumieniowanie wielokrotne, widok korytarza, wykrywanie ruchu, wykrywanie manipulacji, przekazywanie, 7 palet kolorów, cyfrowa stabilizacja obrazu z wbudowanym czujnikiem żyroskopowym, radiometria, dwukierunkowy dźwięk i gniazdo microSD/SDHC/SDXC, IP66, IK10, Nema 4X, PoE/12 V DC/24 V AC</v>
      </c>
      <c r="K336" s="43" t="s">
        <v>21</v>
      </c>
      <c r="L336" s="44">
        <v>8400.0</v>
      </c>
      <c r="M336" s="8"/>
      <c r="N336" s="45" t="s">
        <v>22</v>
      </c>
      <c r="O336" s="97"/>
      <c r="P336" s="36"/>
      <c r="Q336" s="35"/>
      <c r="R336" s="68"/>
      <c r="S336" s="68"/>
      <c r="T336" s="68"/>
      <c r="U336" s="35"/>
      <c r="V336" s="35"/>
      <c r="W336" s="35"/>
      <c r="X336" s="35"/>
      <c r="Y336" s="35"/>
      <c r="Z336" s="35"/>
      <c r="AA336" s="35"/>
      <c r="AB336" s="35"/>
      <c r="AC336" s="60"/>
      <c r="AD336" s="85"/>
      <c r="AE336" s="85"/>
      <c r="AF336" s="85"/>
      <c r="AG336" s="85"/>
      <c r="AH336" s="85"/>
      <c r="AI336" s="85"/>
      <c r="AJ336" s="85"/>
      <c r="AK336" s="85"/>
      <c r="AL336" s="85"/>
      <c r="AM336" s="85"/>
      <c r="AN336" s="85"/>
      <c r="AO336" s="85"/>
      <c r="AP336" s="85"/>
    </row>
    <row r="337" ht="82.5" customHeight="1">
      <c r="A337" s="29"/>
      <c r="B337" s="116" t="s">
        <v>118</v>
      </c>
      <c r="C337" s="117" t="s">
        <v>1011</v>
      </c>
      <c r="D337" s="118" t="s">
        <v>1012</v>
      </c>
      <c r="E337" s="118" t="s">
        <v>16</v>
      </c>
      <c r="F337" s="118" t="s">
        <v>985</v>
      </c>
      <c r="G337" s="117" t="s">
        <v>876</v>
      </c>
      <c r="H337" s="126" t="s">
        <v>19</v>
      </c>
      <c r="I337" s="121" t="s">
        <v>1013</v>
      </c>
      <c r="J337" s="42" t="str">
        <f>IFERROR(__xludf.DUMMYFUNCTION("GOOGLETRANSLATE(I337,""en"",""pl"")"),"Sieciowa kamera termowizyjna do zastosowań zewnętrznych z serii T, VGA @30 kl./s, obiektyw stałoogniskowy 35 mm (17,2°), potrójny kodek H.265/H.264/MJPEG z technologią WiseStream II, strumieniowanie wielokrotne, wykrywanie manipulacji, podejrzeń, detekcja"&amp;" kierunkowa, detekcja dźwięku, klasyfikacja dźwięku, wykrywanie wstrząsów, detekcja zmian temperatury, cyfrowa stabilizacja obrazu z wbudowanym czujnikiem żyroskopowym, dwukierunkowy dźwięk i gniazdo microSD/SDHC/SDXC, IP66, IK10, Nema 4X, 24 V AC")</f>
        <v>Sieciowa kamera termowizyjna do zastosowań zewnętrznych z serii T, VGA @30 kl./s, obiektyw stałoogniskowy 35 mm (17,2°), potrójny kodek H.265/H.264/MJPEG z technologią WiseStream II, strumieniowanie wielokrotne, wykrywanie manipulacji, podejrzeń, detekcja kierunkowa, detekcja dźwięku, klasyfikacja dźwięku, wykrywanie wstrząsów, detekcja zmian temperatury, cyfrowa stabilizacja obrazu z wbudowanym czujnikiem żyroskopowym, dwukierunkowy dźwięk i gniazdo microSD/SDHC/SDXC, IP66, IK10, Nema 4X, 24 V AC</v>
      </c>
      <c r="K337" s="120" t="s">
        <v>21</v>
      </c>
      <c r="L337" s="44">
        <v>12087.0</v>
      </c>
      <c r="M337" s="8"/>
      <c r="N337" s="45" t="s">
        <v>22</v>
      </c>
      <c r="O337" s="97"/>
      <c r="P337" s="36"/>
      <c r="Q337" s="35"/>
      <c r="R337" s="68"/>
      <c r="S337" s="68"/>
      <c r="T337" s="68"/>
      <c r="U337" s="35"/>
      <c r="V337" s="35"/>
      <c r="W337" s="35"/>
      <c r="X337" s="35"/>
      <c r="Y337" s="35"/>
      <c r="Z337" s="35"/>
      <c r="AA337" s="35"/>
      <c r="AB337" s="35"/>
      <c r="AC337" s="60"/>
      <c r="AD337" s="85"/>
      <c r="AE337" s="85"/>
      <c r="AF337" s="85"/>
      <c r="AG337" s="85"/>
      <c r="AH337" s="85"/>
      <c r="AI337" s="85"/>
      <c r="AJ337" s="85"/>
      <c r="AK337" s="85"/>
      <c r="AL337" s="85"/>
      <c r="AM337" s="85"/>
      <c r="AN337" s="85"/>
      <c r="AO337" s="85"/>
      <c r="AP337" s="85"/>
    </row>
    <row r="338" ht="82.5" customHeight="1">
      <c r="A338" s="29"/>
      <c r="B338" s="38" t="s">
        <v>118</v>
      </c>
      <c r="C338" s="39" t="s">
        <v>1014</v>
      </c>
      <c r="D338" s="40" t="s">
        <v>1012</v>
      </c>
      <c r="E338" s="40" t="s">
        <v>16</v>
      </c>
      <c r="F338" s="40" t="s">
        <v>985</v>
      </c>
      <c r="G338" s="39" t="s">
        <v>876</v>
      </c>
      <c r="H338" s="41" t="s">
        <v>19</v>
      </c>
      <c r="I338" s="48" t="s">
        <v>1015</v>
      </c>
      <c r="J338" s="42" t="str">
        <f>IFERROR(__xludf.DUMMYFUNCTION("GOOGLETRANSLATE(I338,""en"",""pl"")"),"Sieciowa kamera termowizyjna do zastosowań zewnętrznych z serii T, VGA @30 kl./s, obiektyw stałoogniskowy 19 mm (32°), potrójny kodek H.265/H.264/MJPEG z technologią WiseStream II, strumieniowanie wielokrotne, wykrywanie manipulacji, podejrzeń, detekcja k"&amp;"ierunkowa, detekcja dźwięku, klasyfikacja dźwięku, wykrywanie wstrząsów, detekcja zmian temperatury, cyfrowa stabilizacja obrazu z wbudowanym czujnikiem żyroskopowym, dwukierunkowy dźwięk i gniazdo microSD/SDHC/SDXC, IP66, IK10, Nema 4X, 24 V AC")</f>
        <v>Sieciowa kamera termowizyjna do zastosowań zewnętrznych z serii T, VGA @30 kl./s, obiektyw stałoogniskowy 19 mm (32°), potrójny kodek H.265/H.264/MJPEG z technologią WiseStream II, strumieniowanie wielokrotne, wykrywanie manipulacji, podejrzeń, detekcja kierunkowa, detekcja dźwięku, klasyfikacja dźwięku, wykrywanie wstrząsów, detekcja zmian temperatury, cyfrowa stabilizacja obrazu z wbudowanym czujnikiem żyroskopowym, dwukierunkowy dźwięk i gniazdo microSD/SDHC/SDXC, IP66, IK10, Nema 4X, 24 V AC</v>
      </c>
      <c r="K338" s="43" t="s">
        <v>21</v>
      </c>
      <c r="L338" s="44">
        <v>10197.0</v>
      </c>
      <c r="M338" s="8"/>
      <c r="N338" s="45" t="s">
        <v>22</v>
      </c>
      <c r="O338" s="97"/>
      <c r="P338" s="36"/>
      <c r="Q338" s="35"/>
      <c r="R338" s="68"/>
      <c r="S338" s="68"/>
      <c r="T338" s="68"/>
      <c r="U338" s="35"/>
      <c r="V338" s="35"/>
      <c r="W338" s="35"/>
      <c r="X338" s="35"/>
      <c r="Y338" s="35"/>
      <c r="Z338" s="35"/>
      <c r="AA338" s="35"/>
      <c r="AB338" s="35"/>
      <c r="AC338" s="60"/>
      <c r="AD338" s="85"/>
      <c r="AE338" s="85"/>
      <c r="AF338" s="85"/>
      <c r="AG338" s="85"/>
      <c r="AH338" s="85"/>
      <c r="AI338" s="85"/>
      <c r="AJ338" s="85"/>
      <c r="AK338" s="85"/>
      <c r="AL338" s="85"/>
      <c r="AM338" s="85"/>
      <c r="AN338" s="85"/>
      <c r="AO338" s="85"/>
      <c r="AP338" s="85"/>
    </row>
    <row r="339" ht="79.5" customHeight="1">
      <c r="A339" s="29"/>
      <c r="B339" s="38" t="s">
        <v>118</v>
      </c>
      <c r="C339" s="39" t="s">
        <v>1016</v>
      </c>
      <c r="D339" s="40" t="s">
        <v>1007</v>
      </c>
      <c r="E339" s="40" t="s">
        <v>16</v>
      </c>
      <c r="F339" s="40" t="s">
        <v>985</v>
      </c>
      <c r="G339" s="39" t="s">
        <v>18</v>
      </c>
      <c r="H339" s="41" t="s">
        <v>19</v>
      </c>
      <c r="I339" s="48" t="s">
        <v>1017</v>
      </c>
      <c r="J339" s="42" t="str">
        <f>IFERROR(__xludf.DUMMYFUNCTION("GOOGLETRANSLATE(I339,""en"",""pl"")"),"Kamera termowizyjna radiometryczna zewnętrzna serii T, VGA @30fps, obiektyw stałoogniskowy 19 mm (32°), potrójny kodek H.265/H.264/MJPEG z WiseStream II, strumieniowanie wielokrotne, widok korytarza, wykrywanie ruchu, wykrywanie manipulacji, przekazywanie"&amp;", 7 palet kolorów, cyfrowa stabilizacja obrazu z wbudowanym czujnikiem żyroskopowym, radiometria, dwukierunkowy dźwięk i gniazdo microSD/SDHC/SDXC, IP66, IK10, Nema 4X, PoE/12 V DC/24 V AC, typ PT")</f>
        <v>Kamera termowizyjna radiometryczna zewnętrzna serii T, VGA @30fps, obiektyw stałoogniskowy 19 mm (32°), potrójny kodek H.265/H.264/MJPEG z WiseStream II, strumieniowanie wielokrotne, widok korytarza, wykrywanie ruchu, wykrywanie manipulacji, przekazywanie, 7 palet kolorów, cyfrowa stabilizacja obrazu z wbudowanym czujnikiem żyroskopowym, radiometria, dwukierunkowy dźwięk i gniazdo microSD/SDHC/SDXC, IP66, IK10, Nema 4X, PoE/12 V DC/24 V AC, typ PT</v>
      </c>
      <c r="K339" s="43" t="s">
        <v>21</v>
      </c>
      <c r="L339" s="44">
        <v>8400.0</v>
      </c>
      <c r="M339" s="8"/>
      <c r="N339" s="45" t="s">
        <v>22</v>
      </c>
      <c r="O339" s="97"/>
      <c r="P339" s="36"/>
      <c r="Q339" s="35"/>
      <c r="R339" s="68"/>
      <c r="S339" s="68"/>
      <c r="T339" s="68"/>
      <c r="U339" s="35"/>
      <c r="V339" s="35"/>
      <c r="W339" s="35"/>
      <c r="X339" s="35"/>
      <c r="Y339" s="35"/>
      <c r="Z339" s="35"/>
      <c r="AA339" s="35"/>
      <c r="AB339" s="35"/>
      <c r="AC339" s="60"/>
      <c r="AD339" s="85"/>
      <c r="AE339" s="85"/>
      <c r="AF339" s="85"/>
      <c r="AG339" s="85"/>
      <c r="AH339" s="85"/>
      <c r="AI339" s="85"/>
      <c r="AJ339" s="85"/>
      <c r="AK339" s="85"/>
      <c r="AL339" s="85"/>
      <c r="AM339" s="85"/>
      <c r="AN339" s="85"/>
      <c r="AO339" s="85"/>
      <c r="AP339" s="85"/>
    </row>
    <row r="340" ht="79.5" customHeight="1">
      <c r="A340" s="29"/>
      <c r="B340" s="38" t="s">
        <v>118</v>
      </c>
      <c r="C340" s="39" t="s">
        <v>1018</v>
      </c>
      <c r="D340" s="40" t="s">
        <v>984</v>
      </c>
      <c r="E340" s="40" t="s">
        <v>16</v>
      </c>
      <c r="F340" s="40" t="s">
        <v>985</v>
      </c>
      <c r="G340" s="39" t="s">
        <v>18</v>
      </c>
      <c r="H340" s="41" t="s">
        <v>19</v>
      </c>
      <c r="I340" s="48" t="s">
        <v>1019</v>
      </c>
      <c r="J340" s="42" t="str">
        <f>IFERROR(__xludf.DUMMYFUNCTION("GOOGLETRANSLATE(I340,""en"",""pl"")"),"Kamera termowizyjna zewnętrzna sieciowa typu bullet z serii T, VGA @30fps, obiektyw stałoogniskowy 35 mm (17,2°), potrójny kodek H.265/H.264/MJPEG z WiseStream II, strumieniowanie wielokrotne, widok korytarza, wykrywanie ruchu, wykrywanie manipulacji, prz"&amp;"ekazywanie, 7 palet kolorów, cyfrowa stabilizacja obrazu z wbudowanym czujnikiem żyroskopowym, dwukierunkowy dźwięk i gniazdo microSD/SDHC/SDXC, IP66, IK10, Nema 4X, PoE/12 V DC/24 V AC, typ PT")</f>
        <v>Kamera termowizyjna zewnętrzna sieciowa typu bullet z serii T, VGA @30fps, obiektyw stałoogniskowy 35 mm (17,2°), potrójny kodek H.265/H.264/MJPEG z WiseStream II, strumieniowanie wielokrotne, widok korytarza, wykrywanie ruchu, wykrywanie manipulacji, przekazywanie, 7 palet kolorów, cyfrowa stabilizacja obrazu z wbudowanym czujnikiem żyroskopowym, dwukierunkowy dźwięk i gniazdo microSD/SDHC/SDXC, IP66, IK10, Nema 4X, PoE/12 V DC/24 V AC, typ PT</v>
      </c>
      <c r="K340" s="43" t="s">
        <v>21</v>
      </c>
      <c r="L340" s="44">
        <v>8400.0</v>
      </c>
      <c r="M340" s="8"/>
      <c r="N340" s="45" t="s">
        <v>22</v>
      </c>
      <c r="O340" s="97"/>
      <c r="P340" s="36"/>
      <c r="Q340" s="35"/>
      <c r="R340" s="68"/>
      <c r="S340" s="68"/>
      <c r="T340" s="68"/>
      <c r="U340" s="35"/>
      <c r="V340" s="35"/>
      <c r="W340" s="35"/>
      <c r="X340" s="35"/>
      <c r="Y340" s="35"/>
      <c r="Z340" s="35"/>
      <c r="AA340" s="35"/>
      <c r="AB340" s="35"/>
      <c r="AC340" s="60"/>
      <c r="AD340" s="85"/>
      <c r="AE340" s="85"/>
      <c r="AF340" s="85"/>
      <c r="AG340" s="85"/>
      <c r="AH340" s="85"/>
      <c r="AI340" s="85"/>
      <c r="AJ340" s="85"/>
      <c r="AK340" s="85"/>
      <c r="AL340" s="85"/>
      <c r="AM340" s="85"/>
      <c r="AN340" s="85"/>
      <c r="AO340" s="85"/>
      <c r="AP340" s="85"/>
    </row>
    <row r="341" ht="79.5" customHeight="1">
      <c r="A341" s="29"/>
      <c r="B341" s="38" t="s">
        <v>118</v>
      </c>
      <c r="C341" s="39" t="s">
        <v>1020</v>
      </c>
      <c r="D341" s="40" t="s">
        <v>984</v>
      </c>
      <c r="E341" s="40" t="s">
        <v>16</v>
      </c>
      <c r="F341" s="40" t="s">
        <v>985</v>
      </c>
      <c r="G341" s="39" t="s">
        <v>18</v>
      </c>
      <c r="H341" s="41" t="s">
        <v>19</v>
      </c>
      <c r="I341" s="48" t="s">
        <v>1021</v>
      </c>
      <c r="J341" s="42" t="str">
        <f>IFERROR(__xludf.DUMMYFUNCTION("GOOGLETRANSLATE(I341,""en"",""pl"")"),"Kamera termowizyjna zewnętrzna sieciowa typu bullet z serii T, VGA @30fps, obiektyw stałoogniskowy 19 mm (32°), potrójny kodek H.265/H.264/MJPEG z technologią WiseStream II, strumieniowanie wielokrotne, widok korytarza, wykrywanie ruchu, wykrywanie manipu"&amp;"lacji, przekazywanie, 7 palet kolorów, cyfrowa stabilizacja obrazu z wbudowanym czujnikiem żyroskopowym, dwukierunkowy dźwięk i gniazdo na karty microSD/SDHC/SDXC, IP66, IK10, Nema 4X, PoE/12 V DC/24 V AC, typ PT")</f>
        <v>Kamera termowizyjna zewnętrzna sieciowa typu bullet z serii T, VGA @30fps, obiektyw stałoogniskowy 19 mm (32°), potrójny kodek H.265/H.264/MJPEG z technologią WiseStream II, strumieniowanie wielokrotne, widok korytarza, wykrywanie ruchu, wykrywanie manipulacji, przekazywanie, 7 palet kolorów, cyfrowa stabilizacja obrazu z wbudowanym czujnikiem żyroskopowym, dwukierunkowy dźwięk i gniazdo na karty microSD/SDHC/SDXC, IP66, IK10, Nema 4X, PoE/12 V DC/24 V AC, typ PT</v>
      </c>
      <c r="K341" s="43" t="s">
        <v>21</v>
      </c>
      <c r="L341" s="44">
        <v>7000.0</v>
      </c>
      <c r="M341" s="8"/>
      <c r="N341" s="45" t="s">
        <v>22</v>
      </c>
      <c r="O341" s="97"/>
      <c r="P341" s="36"/>
      <c r="Q341" s="35"/>
      <c r="R341" s="68"/>
      <c r="S341" s="68"/>
      <c r="T341" s="68"/>
      <c r="U341" s="35"/>
      <c r="V341" s="35"/>
      <c r="W341" s="35"/>
      <c r="X341" s="35"/>
      <c r="Y341" s="35"/>
      <c r="Z341" s="35"/>
      <c r="AA341" s="35"/>
      <c r="AB341" s="35"/>
      <c r="AC341" s="60"/>
      <c r="AD341" s="85"/>
      <c r="AE341" s="85"/>
      <c r="AF341" s="85"/>
      <c r="AG341" s="85"/>
      <c r="AH341" s="85"/>
      <c r="AI341" s="85"/>
      <c r="AJ341" s="85"/>
      <c r="AK341" s="85"/>
      <c r="AL341" s="85"/>
      <c r="AM341" s="85"/>
      <c r="AN341" s="85"/>
      <c r="AO341" s="85"/>
      <c r="AP341" s="85"/>
    </row>
    <row r="342" ht="79.5" customHeight="1">
      <c r="A342" s="29"/>
      <c r="B342" s="38" t="s">
        <v>118</v>
      </c>
      <c r="C342" s="39" t="s">
        <v>1022</v>
      </c>
      <c r="D342" s="40" t="s">
        <v>984</v>
      </c>
      <c r="E342" s="40" t="s">
        <v>16</v>
      </c>
      <c r="F342" s="40" t="s">
        <v>985</v>
      </c>
      <c r="G342" s="39" t="s">
        <v>18</v>
      </c>
      <c r="H342" s="41" t="s">
        <v>19</v>
      </c>
      <c r="I342" s="48" t="s">
        <v>1023</v>
      </c>
      <c r="J342" s="42" t="str">
        <f>IFERROR(__xludf.DUMMYFUNCTION("GOOGLETRANSLATE(I342,""en"",""pl"")"),"Kamera termowizyjna radiometryczna zewnętrzna serii T, VGA @8fps, obiektyw stałoogniskowy 13 mm (48,6°), potrójny kodek H.265/H.264/MJPEG z WiseStream II, strumieniowanie wielokrotne, widok korytarza, wykrywanie ruchu, wykrywanie manipulacji, przekazywani"&amp;"e, 7 palet kolorów, cyfrowa stabilizacja obrazu z wbudowanym czujnikiem żyroskopowym, radiometria, dwukierunkowy dźwięk i gniazdo microSD/SDHC/SDXC, IP66, IK10, Nema 4X, PoE/12 V DC/24 V AC")</f>
        <v>Kamera termowizyjna radiometryczna zewnętrzna serii T, VGA @8fps, obiektyw stałoogniskowy 13 mm (48,6°), potrójny kodek H.265/H.264/MJPEG z WiseStream II, strumieniowanie wielokrotne, widok korytarza, wykrywanie ruchu, wykrywanie manipulacji, przekazywanie, 7 palet kolorów, cyfrowa stabilizacja obrazu z wbudowanym czujnikiem żyroskopowym, radiometria, dwukierunkowy dźwięk i gniazdo microSD/SDHC/SDXC, IP66, IK10, Nema 4X, PoE/12 V DC/24 V AC</v>
      </c>
      <c r="K342" s="43" t="s">
        <v>21</v>
      </c>
      <c r="L342" s="44">
        <v>8400.0</v>
      </c>
      <c r="M342" s="8"/>
      <c r="N342" s="45" t="s">
        <v>22</v>
      </c>
      <c r="O342" s="97"/>
      <c r="P342" s="36"/>
      <c r="Q342" s="35"/>
      <c r="R342" s="68"/>
      <c r="S342" s="68"/>
      <c r="T342" s="68"/>
      <c r="U342" s="35"/>
      <c r="V342" s="35"/>
      <c r="W342" s="35"/>
      <c r="X342" s="35"/>
      <c r="Y342" s="35"/>
      <c r="Z342" s="35"/>
      <c r="AA342" s="35"/>
      <c r="AB342" s="35"/>
      <c r="AC342" s="60"/>
      <c r="AD342" s="85"/>
      <c r="AE342" s="85"/>
      <c r="AF342" s="85"/>
      <c r="AG342" s="85"/>
      <c r="AH342" s="85"/>
      <c r="AI342" s="85"/>
      <c r="AJ342" s="85"/>
      <c r="AK342" s="85"/>
      <c r="AL342" s="85"/>
      <c r="AM342" s="85"/>
      <c r="AN342" s="85"/>
      <c r="AO342" s="85"/>
      <c r="AP342" s="85"/>
    </row>
    <row r="343" ht="79.5" customHeight="1">
      <c r="A343" s="29"/>
      <c r="B343" s="38" t="s">
        <v>13</v>
      </c>
      <c r="C343" s="39" t="s">
        <v>1024</v>
      </c>
      <c r="D343" s="40" t="s">
        <v>984</v>
      </c>
      <c r="E343" s="40" t="s">
        <v>16</v>
      </c>
      <c r="F343" s="40" t="s">
        <v>985</v>
      </c>
      <c r="G343" s="39" t="s">
        <v>18</v>
      </c>
      <c r="H343" s="41" t="s">
        <v>19</v>
      </c>
      <c r="I343" s="48" t="s">
        <v>1025</v>
      </c>
      <c r="J343" s="42" t="str">
        <f>IFERROR(__xludf.DUMMYFUNCTION("GOOGLETRANSLATE(I343,""en"",""pl"")"),"Kamera zewnętrzna radiometryczna typu bullet z serii T (niechłodzona), sieciowa, 640x480 @ 8fps, obiektyw o stałej ogniskowej 19 mm (32°), potrójny kodek H.265/H.264/MJPEG z Wisestream II, karta SD, zaawansowana analiza wideo i klasyfikacja dźwięku, przek"&amp;"azywanie PTZ, do 6 programowalnych przez użytkownika obszarów wykrywania temperatury, zakres wykrywania temperatury od (-20°C do 130°C), otwarta platforma, DIS (żyroskop), zintegrowana obudowa tylna, IP66, IK10, PoE/12VDC/24VAC, kolor biały.")</f>
        <v>Kamera zewnętrzna radiometryczna typu bullet z serii T (niechłodzona), sieciowa, 640x480 @ 8fps, obiektyw o stałej ogniskowej 19 mm (32°), potrójny kodek H.265/H.264/MJPEG z Wisestream II, karta SD, zaawansowana analiza wideo i klasyfikacja dźwięku, przekazywanie PTZ, do 6 programowalnych przez użytkownika obszarów wykrywania temperatury, zakres wykrywania temperatury od (-20°C do 130°C), otwarta platforma, DIS (żyroskop), zintegrowana obudowa tylna, IP66, IK10, PoE/12VDC/24VAC, kolor biały.</v>
      </c>
      <c r="K343" s="43" t="s">
        <v>21</v>
      </c>
      <c r="L343" s="44">
        <v>8400.0</v>
      </c>
      <c r="M343" s="8"/>
      <c r="N343" s="45" t="s">
        <v>22</v>
      </c>
      <c r="O343" s="97"/>
      <c r="P343" s="35"/>
      <c r="Q343" s="35"/>
      <c r="R343" s="68"/>
      <c r="S343" s="68"/>
      <c r="T343" s="68"/>
      <c r="U343" s="35"/>
      <c r="V343" s="35"/>
      <c r="W343" s="35"/>
      <c r="X343" s="35"/>
      <c r="Y343" s="35"/>
      <c r="Z343" s="35"/>
      <c r="AA343" s="35"/>
      <c r="AB343" s="35"/>
      <c r="AC343" s="101"/>
      <c r="AD343" s="98"/>
      <c r="AE343" s="98"/>
      <c r="AF343" s="98"/>
      <c r="AG343" s="98"/>
      <c r="AH343" s="98"/>
      <c r="AI343" s="98"/>
      <c r="AJ343" s="98"/>
      <c r="AK343" s="98"/>
      <c r="AL343" s="98"/>
      <c r="AM343" s="98"/>
      <c r="AN343" s="98"/>
      <c r="AO343" s="98"/>
      <c r="AP343" s="98"/>
    </row>
    <row r="344" ht="79.5" customHeight="1">
      <c r="A344" s="29"/>
      <c r="B344" s="38" t="s">
        <v>13</v>
      </c>
      <c r="C344" s="39" t="s">
        <v>1026</v>
      </c>
      <c r="D344" s="40" t="s">
        <v>984</v>
      </c>
      <c r="E344" s="40" t="s">
        <v>16</v>
      </c>
      <c r="F344" s="40" t="s">
        <v>985</v>
      </c>
      <c r="G344" s="39" t="s">
        <v>18</v>
      </c>
      <c r="H344" s="41" t="s">
        <v>19</v>
      </c>
      <c r="I344" s="48" t="s">
        <v>1027</v>
      </c>
      <c r="J344" s="42" t="str">
        <f>IFERROR(__xludf.DUMMYFUNCTION("GOOGLETRANSLATE(I344,""en"",""pl"")"),"Kamera termowizyjna typu bullet z serii T, zewnętrzna, sieciowa, odporna na akty wandalizmu (bez chłodzenia), 640x480 @ 8fps, obiektyw o stałej ogniskowej 19 mm (32°), potrójny kodek H.265/H.264/MJPEG z Wisestream II, karta SD, zaawansowana analiza wideo "&amp;"i klasyfikacja dźwięku, przekazywanie PTZ, otwarta platforma, DIS (żyroskop), zintegrowana obudowa tylna, IP66, IK10, PoE/12VDC/24VAC, kolor biały.")</f>
        <v>Kamera termowizyjna typu bullet z serii T, zewnętrzna, sieciowa, odporna na akty wandalizmu (bez chłodzenia), 640x480 @ 8fps, obiektyw o stałej ogniskowej 19 mm (32°), potrójny kodek H.265/H.264/MJPEG z Wisestream II, karta SD, zaawansowana analiza wideo i klasyfikacja dźwięku, przekazywanie PTZ, otwarta platforma, DIS (żyroskop), zintegrowana obudowa tylna, IP66, IK10, PoE/12VDC/24VAC, kolor biały.</v>
      </c>
      <c r="K344" s="43" t="s">
        <v>21</v>
      </c>
      <c r="L344" s="44">
        <v>7000.0</v>
      </c>
      <c r="M344" s="8"/>
      <c r="N344" s="45" t="s">
        <v>22</v>
      </c>
      <c r="O344" s="97"/>
      <c r="P344" s="35"/>
      <c r="Q344" s="35"/>
      <c r="R344" s="68"/>
      <c r="S344" s="68"/>
      <c r="T344" s="68"/>
      <c r="U344" s="35"/>
      <c r="V344" s="35"/>
      <c r="W344" s="35"/>
      <c r="X344" s="35"/>
      <c r="Y344" s="35"/>
      <c r="Z344" s="35"/>
      <c r="AA344" s="35"/>
      <c r="AB344" s="35"/>
      <c r="AC344" s="101"/>
      <c r="AD344" s="98"/>
      <c r="AE344" s="98"/>
      <c r="AF344" s="98"/>
      <c r="AG344" s="98"/>
      <c r="AH344" s="98"/>
      <c r="AI344" s="98"/>
      <c r="AJ344" s="98"/>
      <c r="AK344" s="98"/>
      <c r="AL344" s="98"/>
      <c r="AM344" s="98"/>
      <c r="AN344" s="98"/>
      <c r="AO344" s="98"/>
      <c r="AP344" s="98"/>
    </row>
    <row r="345" ht="79.5" customHeight="1">
      <c r="A345" s="29"/>
      <c r="B345" s="38" t="s">
        <v>13</v>
      </c>
      <c r="C345" s="39" t="s">
        <v>1028</v>
      </c>
      <c r="D345" s="40" t="s">
        <v>984</v>
      </c>
      <c r="E345" s="40" t="s">
        <v>16</v>
      </c>
      <c r="F345" s="40" t="s">
        <v>985</v>
      </c>
      <c r="G345" s="39" t="s">
        <v>18</v>
      </c>
      <c r="H345" s="41" t="s">
        <v>19</v>
      </c>
      <c r="I345" s="48" t="s">
        <v>1029</v>
      </c>
      <c r="J345" s="42" t="str">
        <f>IFERROR(__xludf.DUMMYFUNCTION("GOOGLETRANSLATE(I345,""en"",""pl"")"),"Kamera termowizyjna typu bullet z serii T, zewnętrzna, sieciowa, odporna na akty wandalizmu (bez chłodzenia), 640x480 @ 8fps, obiektyw o stałej ogniskowej 35 mm (17,2°), potrójny kodek H.265/H.264/MJPEG z technologią Wisestream II, karta SD, zaawansowana "&amp;"analiza wideo i klasyfikacja dźwięku, przekazywanie PTZ, otwarta platforma, DIS (żyroskop), zintegrowana obudowa tylna, IP66, IK10, PoE/12VDC/24VAC, kolor biały.")</f>
        <v>Kamera termowizyjna typu bullet z serii T, zewnętrzna, sieciowa, odporna na akty wandalizmu (bez chłodzenia), 640x480 @ 8fps, obiektyw o stałej ogniskowej 35 mm (17,2°), potrójny kodek H.265/H.264/MJPEG z technologią Wisestream II, karta SD, zaawansowana analiza wideo i klasyfikacja dźwięku, przekazywanie PTZ, otwarta platforma, DIS (żyroskop), zintegrowana obudowa tylna, IP66, IK10, PoE/12VDC/24VAC, kolor biały.</v>
      </c>
      <c r="K345" s="43" t="s">
        <v>21</v>
      </c>
      <c r="L345" s="44">
        <v>8400.0</v>
      </c>
      <c r="M345" s="8"/>
      <c r="N345" s="45" t="s">
        <v>22</v>
      </c>
      <c r="O345" s="97"/>
      <c r="P345" s="35"/>
      <c r="Q345" s="35"/>
      <c r="R345" s="68"/>
      <c r="S345" s="68"/>
      <c r="T345" s="68"/>
      <c r="U345" s="35"/>
      <c r="V345" s="35"/>
      <c r="W345" s="35"/>
      <c r="X345" s="35"/>
      <c r="Y345" s="35"/>
      <c r="Z345" s="35"/>
      <c r="AA345" s="35"/>
      <c r="AB345" s="35"/>
      <c r="AC345" s="101"/>
      <c r="AD345" s="98"/>
      <c r="AE345" s="98"/>
      <c r="AF345" s="98"/>
      <c r="AG345" s="98"/>
      <c r="AH345" s="98"/>
      <c r="AI345" s="98"/>
      <c r="AJ345" s="98"/>
      <c r="AK345" s="98"/>
      <c r="AL345" s="98"/>
      <c r="AM345" s="98"/>
      <c r="AN345" s="98"/>
      <c r="AO345" s="98"/>
      <c r="AP345" s="98"/>
    </row>
    <row r="346" ht="30.0" customHeight="1">
      <c r="A346" s="29"/>
      <c r="B346" s="129" t="s">
        <v>1030</v>
      </c>
      <c r="C346" s="113"/>
      <c r="D346" s="113"/>
      <c r="E346" s="113"/>
      <c r="F346" s="113"/>
      <c r="G346" s="113"/>
      <c r="H346" s="113"/>
      <c r="I346" s="113"/>
      <c r="J346" s="42" t="str">
        <f>IFERROR(__xludf.DUMMYFUNCTION("GOOGLETRANSLATE(I346,""en"",""pl"")"),"#VALUE!")</f>
        <v>#VALUE!</v>
      </c>
      <c r="K346" s="113"/>
      <c r="L346" s="114"/>
      <c r="M346" s="115"/>
      <c r="N346" s="96"/>
      <c r="O346" s="83"/>
      <c r="P346" s="36"/>
      <c r="Q346" s="35"/>
      <c r="R346" s="68"/>
      <c r="S346" s="68"/>
      <c r="T346" s="68"/>
      <c r="U346" s="35"/>
      <c r="V346" s="35"/>
      <c r="W346" s="35"/>
      <c r="X346" s="35"/>
      <c r="Y346" s="35"/>
      <c r="Z346" s="35"/>
      <c r="AA346" s="35"/>
      <c r="AB346" s="35"/>
      <c r="AC346" s="60"/>
      <c r="AD346" s="85"/>
      <c r="AE346" s="85"/>
      <c r="AF346" s="85"/>
      <c r="AG346" s="85"/>
      <c r="AH346" s="85"/>
      <c r="AI346" s="85"/>
      <c r="AJ346" s="85"/>
      <c r="AK346" s="85"/>
      <c r="AL346" s="85"/>
      <c r="AM346" s="85"/>
      <c r="AN346" s="85"/>
      <c r="AO346" s="85"/>
      <c r="AP346" s="85"/>
    </row>
    <row r="347" ht="75.0" customHeight="1">
      <c r="A347" s="29"/>
      <c r="B347" s="116" t="s">
        <v>1031</v>
      </c>
      <c r="C347" s="117" t="s">
        <v>1032</v>
      </c>
      <c r="D347" s="118" t="s">
        <v>1033</v>
      </c>
      <c r="E347" s="118" t="s">
        <v>168</v>
      </c>
      <c r="F347" s="118" t="s">
        <v>1034</v>
      </c>
      <c r="G347" s="117" t="s">
        <v>1035</v>
      </c>
      <c r="H347" s="126" t="s">
        <v>170</v>
      </c>
      <c r="I347" s="121" t="s">
        <v>1036</v>
      </c>
      <c r="J347" s="42" t="str">
        <f>IFERROR(__xludf.DUMMYFUNCTION("GOOGLETRANSLATE(I347,""en"",""pl"")"),"4-kanałowy, bezwentylatorowy rejestrator NVR z technologią PoE i wbudowanym dyskiem SSD o pojemności 1 TB")</f>
        <v>4-kanałowy, bezwentylatorowy rejestrator NVR z technologią PoE i wbudowanym dyskiem SSD o pojemności 1 TB</v>
      </c>
      <c r="K347" s="43" t="s">
        <v>21</v>
      </c>
      <c r="L347" s="44">
        <v>1245.0</v>
      </c>
      <c r="M347" s="8"/>
      <c r="N347" s="45" t="s">
        <v>22</v>
      </c>
      <c r="O347" s="97"/>
      <c r="P347" s="35"/>
      <c r="Q347" s="35"/>
      <c r="R347" s="68"/>
      <c r="S347" s="68"/>
      <c r="T347" s="68"/>
      <c r="U347" s="35"/>
      <c r="V347" s="35"/>
      <c r="W347" s="35"/>
      <c r="X347" s="35"/>
      <c r="Y347" s="35"/>
      <c r="Z347" s="35"/>
      <c r="AA347" s="35"/>
      <c r="AB347" s="35"/>
      <c r="AC347" s="101"/>
      <c r="AD347" s="98"/>
      <c r="AE347" s="98"/>
      <c r="AF347" s="98"/>
      <c r="AG347" s="98"/>
      <c r="AH347" s="98"/>
      <c r="AI347" s="98"/>
      <c r="AJ347" s="98"/>
      <c r="AK347" s="98"/>
      <c r="AL347" s="98"/>
      <c r="AM347" s="98"/>
      <c r="AN347" s="98"/>
      <c r="AO347" s="98"/>
      <c r="AP347" s="98"/>
    </row>
    <row r="348" ht="75.0" customHeight="1">
      <c r="A348" s="29"/>
      <c r="B348" s="116" t="s">
        <v>1031</v>
      </c>
      <c r="C348" s="117" t="s">
        <v>1037</v>
      </c>
      <c r="D348" s="118" t="s">
        <v>1033</v>
      </c>
      <c r="E348" s="118" t="s">
        <v>168</v>
      </c>
      <c r="F348" s="118" t="s">
        <v>1034</v>
      </c>
      <c r="G348" s="117" t="s">
        <v>1035</v>
      </c>
      <c r="H348" s="126" t="s">
        <v>170</v>
      </c>
      <c r="I348" s="121" t="s">
        <v>1038</v>
      </c>
      <c r="J348" s="42" t="str">
        <f>IFERROR(__xludf.DUMMYFUNCTION("GOOGLETRANSLATE(I348,""en"",""pl"")"),"4-kanałowy, bezwentylatorowy rejestrator NVR z technologią PoE i wbudowanym dyskiem SSD o pojemności 2 TB")</f>
        <v>4-kanałowy, bezwentylatorowy rejestrator NVR z technologią PoE i wbudowanym dyskiem SSD o pojemności 2 TB</v>
      </c>
      <c r="K348" s="43" t="s">
        <v>21</v>
      </c>
      <c r="L348" s="44">
        <v>1900.0</v>
      </c>
      <c r="M348" s="8"/>
      <c r="N348" s="45" t="s">
        <v>22</v>
      </c>
      <c r="O348" s="97"/>
      <c r="P348" s="35"/>
      <c r="Q348" s="35"/>
      <c r="R348" s="68"/>
      <c r="S348" s="68"/>
      <c r="T348" s="68"/>
      <c r="U348" s="35"/>
      <c r="V348" s="35"/>
      <c r="W348" s="35"/>
      <c r="X348" s="35"/>
      <c r="Y348" s="35"/>
      <c r="Z348" s="35"/>
      <c r="AA348" s="35"/>
      <c r="AB348" s="35"/>
      <c r="AC348" s="101"/>
      <c r="AD348" s="98"/>
      <c r="AE348" s="98"/>
      <c r="AF348" s="98"/>
      <c r="AG348" s="98"/>
      <c r="AH348" s="98"/>
      <c r="AI348" s="98"/>
      <c r="AJ348" s="98"/>
      <c r="AK348" s="98"/>
      <c r="AL348" s="98"/>
      <c r="AM348" s="98"/>
      <c r="AN348" s="98"/>
      <c r="AO348" s="98"/>
      <c r="AP348" s="98"/>
    </row>
    <row r="349" ht="75.0" customHeight="1">
      <c r="A349" s="29"/>
      <c r="B349" s="38" t="s">
        <v>1031</v>
      </c>
      <c r="C349" s="39" t="s">
        <v>1039</v>
      </c>
      <c r="D349" s="40" t="s">
        <v>1040</v>
      </c>
      <c r="E349" s="40" t="s">
        <v>168</v>
      </c>
      <c r="F349" s="40" t="s">
        <v>1041</v>
      </c>
      <c r="G349" s="39" t="s">
        <v>1035</v>
      </c>
      <c r="H349" s="41" t="s">
        <v>170</v>
      </c>
      <c r="I349" s="48" t="s">
        <v>1042</v>
      </c>
      <c r="J349" s="42" t="str">
        <f>IFERROR(__xludf.DUMMYFUNCTION("GOOGLETRANSLATE(I349,""en"",""pl"")"),"Rejestrator NVR serii X 8K (oparty na procesorze Intel), 64 kanały, 16 zatok na dyski twarde SATA (do 10 TB na dysk), kodowanie H265/H264/MJPEG, SUNAPI, ONVIF, ARB (automatyczne przywracanie kopii zapasowej) i tryb awaryjny (N+1), nagrywanie do 520 Mb/s /"&amp;" odtwarzanie do 200 Mb/s, nagrywanie z dwóch strumieni, iSCSI, obsługa WiseStream, HDMI (x2) z dwoma wyświetlaczami, wejście/wyjście alarmowe, dwukierunkowy dźwięk, maksymalna rozdzielczość nagrywania/wyświetlania 32 MP, usuwanie zniekształceń typu „rybie"&amp;" oko” (lokalnie/CMS), wyszukiwanie AI (tylko kamery Wisenet AI), kod QR P2P, obsługa RAID 5/6 (UWAGA: RAID nie może być skonfigurowany z tą konfiguracją dysków twardych), możliwość wymiany dysków twardych na gorąco w trybie RAID. Dysk twardy nie jest dołą"&amp;"czony.")</f>
        <v>Rejestrator NVR serii X 8K (oparty na procesorze Intel), 64 kanały, 16 zatok na dyski twarde SATA (do 10 TB na dysk), kodowanie H265/H264/MJPEG, SUNAPI, ONVIF, ARB (automatyczne przywracanie kopii zapasowej) i tryb awaryjny (N+1), nagrywanie do 520 Mb/s / odtwarzanie do 200 Mb/s, nagrywanie z dwóch strumieni, iSCSI, obsługa WiseStream, HDMI (x2) z dwoma wyświetlaczami, wejście/wyjście alarmowe, dwukierunkowy dźwięk, maksymalna rozdzielczość nagrywania/wyświetlania 32 MP, usuwanie zniekształceń typu „rybie oko” (lokalnie/CMS), wyszukiwanie AI (tylko kamery Wisenet AI), kod QR P2P, obsługa RAID 5/6 (UWAGA: RAID nie może być skonfigurowany z tą konfiguracją dysków twardych), możliwość wymiany dysków twardych na gorąco w trybie RAID. Dysk twardy nie jest dołączony.</v>
      </c>
      <c r="K349" s="43" t="s">
        <v>21</v>
      </c>
      <c r="L349" s="44">
        <v>8320.0</v>
      </c>
      <c r="M349" s="8"/>
      <c r="N349" s="45" t="s">
        <v>22</v>
      </c>
      <c r="O349" s="97"/>
      <c r="P349" s="36"/>
      <c r="Q349" s="35"/>
      <c r="R349" s="68"/>
      <c r="S349" s="68"/>
      <c r="T349" s="68"/>
      <c r="U349" s="35"/>
      <c r="V349" s="35"/>
      <c r="W349" s="35"/>
      <c r="X349" s="35"/>
      <c r="Y349" s="35"/>
      <c r="Z349" s="35"/>
      <c r="AA349" s="35"/>
      <c r="AB349" s="35"/>
      <c r="AC349" s="60"/>
      <c r="AD349" s="85"/>
      <c r="AE349" s="85"/>
      <c r="AF349" s="85"/>
      <c r="AG349" s="85"/>
      <c r="AH349" s="85"/>
      <c r="AI349" s="85"/>
      <c r="AJ349" s="85"/>
      <c r="AK349" s="85"/>
      <c r="AL349" s="85"/>
      <c r="AM349" s="85"/>
      <c r="AN349" s="85"/>
      <c r="AO349" s="85"/>
      <c r="AP349" s="85"/>
    </row>
    <row r="350" ht="75.0" customHeight="1">
      <c r="A350" s="29"/>
      <c r="B350" s="38" t="s">
        <v>1031</v>
      </c>
      <c r="C350" s="39" t="s">
        <v>1043</v>
      </c>
      <c r="D350" s="40" t="s">
        <v>1040</v>
      </c>
      <c r="E350" s="40" t="s">
        <v>168</v>
      </c>
      <c r="F350" s="40" t="s">
        <v>1041</v>
      </c>
      <c r="G350" s="39" t="s">
        <v>1035</v>
      </c>
      <c r="H350" s="41" t="s">
        <v>170</v>
      </c>
      <c r="I350" s="48" t="s">
        <v>1044</v>
      </c>
      <c r="J350" s="42" t="str">
        <f>IFERROR(__xludf.DUMMYFUNCTION("GOOGLETRANSLATE(I350,""en"",""pl"")"),"Rejestrator NVR serii X 8K (oparty na procesorze Intel), 64 kanały, 16 zatok na dyski twarde SATA (do 10 TB na dysk), kodowanie H265/H264/MJPEG, SUNAPI, ONVIF, ARB (automatyczne przywracanie kopii zapasowej) i tryb awaryjny (N+1), nagrywanie do 520 Mb/s /"&amp;" odtwarzanie do 200 Mb/s, nagrywanie z dwóch strumieni, iSCSI, obsługa WiseStream, HDMI (x2), podwójny wyświetlacz, wejście/wyjście alarmowe, dwukierunkowy dźwięk, maksymalna rozdzielczość nagrywania/wyświetlania kamery 32 MP, usuwanie zniekształceń typu "&amp;"„rybie oko” (lokalnie/CMS), wyszukiwanie AI (tylko kamery Wisenet AI), kod QR P2P, obsługa RAID 5/6 (UWAGA: RAID nie może być skonfigurowany z tą konfiguracją dysków twardych), możliwość wymiany dysków twardych na gorąco w trybie RAID. Dysk twardy nie jes"&amp;"t dołączony.")</f>
        <v>Rejestrator NVR serii X 8K (oparty na procesorze Intel), 64 kanały, 16 zatok na dyski twarde SATA (do 10 TB na dysk), kodowanie H265/H264/MJPEG, SUNAPI, ONVIF, ARB (automatyczne przywracanie kopii zapasowej) i tryb awaryjny (N+1), nagrywanie do 520 Mb/s / odtwarzanie do 200 Mb/s, nagrywanie z dwóch strumieni, iSCSI, obsługa WiseStream, HDMI (x2), podwójny wyświetlacz, wejście/wyjście alarmowe, dwukierunkowy dźwięk, maksymalna rozdzielczość nagrywania/wyświetlania kamery 32 MP, usuwanie zniekształceń typu „rybie oko” (lokalnie/CMS), wyszukiwanie AI (tylko kamery Wisenet AI), kod QR P2P, obsługa RAID 5/6 (UWAGA: RAID nie może być skonfigurowany z tą konfiguracją dysków twardych), możliwość wymiany dysków twardych na gorąco w trybie RAID. Dysk twardy nie jest dołączony.</v>
      </c>
      <c r="K350" s="43" t="s">
        <v>21</v>
      </c>
      <c r="L350" s="44">
        <v>7460.0</v>
      </c>
      <c r="M350" s="8"/>
      <c r="N350" s="45" t="s">
        <v>22</v>
      </c>
      <c r="O350" s="97"/>
      <c r="P350" s="36"/>
      <c r="Q350" s="35"/>
      <c r="R350" s="68"/>
      <c r="S350" s="68"/>
      <c r="T350" s="68"/>
      <c r="U350" s="35"/>
      <c r="V350" s="35"/>
      <c r="W350" s="35"/>
      <c r="X350" s="35"/>
      <c r="Y350" s="35"/>
      <c r="Z350" s="35"/>
      <c r="AA350" s="35"/>
      <c r="AB350" s="35"/>
      <c r="AC350" s="60"/>
      <c r="AD350" s="85"/>
      <c r="AE350" s="85"/>
      <c r="AF350" s="85"/>
      <c r="AG350" s="85"/>
      <c r="AH350" s="85"/>
      <c r="AI350" s="85"/>
      <c r="AJ350" s="85"/>
      <c r="AK350" s="85"/>
      <c r="AL350" s="85"/>
      <c r="AM350" s="85"/>
      <c r="AN350" s="85"/>
      <c r="AO350" s="85"/>
      <c r="AP350" s="85"/>
    </row>
    <row r="351" ht="75.0" customHeight="1">
      <c r="A351" s="29"/>
      <c r="B351" s="38" t="s">
        <v>1031</v>
      </c>
      <c r="C351" s="39" t="s">
        <v>1045</v>
      </c>
      <c r="D351" s="40" t="s">
        <v>1046</v>
      </c>
      <c r="E351" s="40" t="s">
        <v>168</v>
      </c>
      <c r="F351" s="40" t="s">
        <v>1047</v>
      </c>
      <c r="G351" s="39" t="s">
        <v>1035</v>
      </c>
      <c r="H351" s="41" t="s">
        <v>170</v>
      </c>
      <c r="I351" s="48" t="s">
        <v>1048</v>
      </c>
      <c r="J351" s="42" t="str">
        <f>IFERROR(__xludf.DUMMYFUNCTION("GOOGLETRANSLATE(I351,""en"",""pl"")"),"Rejestrator NVR serii X 8K (oparty na procesorze Intel), 32 kanały, 16 zatok na dyski twarde SATA (do 10 TB na dysk), H.265/H.264/MJPEG, SUNAPI, ONVIF, ARB (automatyczne przywracanie kopii zapasowej) i tryb awaryjny (N+1), nagrywanie do 520 Mb/s / odtwarz"&amp;"anie do 200 Mb/s, nagrywanie z dwóch strumieni, iSCSI, obsługa WiseStream, HDMI (x2) z dwoma wyświetlaczami, wejście/wyjście alarmowe, dwukierunkowa transmisja dźwięku, maksymalna rozdzielczość nagrywania/wyświetlania 32 MP, usuwanie zniekształceń typu „r"&amp;"ybie oko” (lokalnie/CMS), wyszukiwanie AI (tylko kamery Wisenet AI), kod QR P2P, obsługa RAID 5/6 (UWAGA: RAID nie może być skonfigurowany z tą konfiguracją dysków twardych), możliwość wymiany dysków twardych na gorąco w trybie RAID. Dysk twardy nie jest "&amp;"dołączony.")</f>
        <v>Rejestrator NVR serii X 8K (oparty na procesorze Intel), 32 kanały, 16 zatok na dyski twarde SATA (do 10 TB na dysk), H.265/H.264/MJPEG, SUNAPI, ONVIF, ARB (automatyczne przywracanie kopii zapasowej) i tryb awaryjny (N+1), nagrywanie do 520 Mb/s / odtwarzanie do 200 Mb/s, nagrywanie z dwóch strumieni, iSCSI, obsługa WiseStream, HDMI (x2) z dwoma wyświetlaczami, wejście/wyjście alarmowe, dwukierunkowa transmisja dźwięku, maksymalna rozdzielczość nagrywania/wyświetlania 32 MP, usuwanie zniekształceń typu „rybie oko” (lokalnie/CMS), wyszukiwanie AI (tylko kamery Wisenet AI), kod QR P2P, obsługa RAID 5/6 (UWAGA: RAID nie może być skonfigurowany z tą konfiguracją dysków twardych), możliwość wymiany dysków twardych na gorąco w trybie RAID. Dysk twardy nie jest dołączony.</v>
      </c>
      <c r="K351" s="43" t="s">
        <v>21</v>
      </c>
      <c r="L351" s="44">
        <v>6710.0</v>
      </c>
      <c r="M351" s="8"/>
      <c r="N351" s="45" t="s">
        <v>22</v>
      </c>
      <c r="O351" s="97"/>
      <c r="P351" s="36"/>
      <c r="Q351" s="35"/>
      <c r="R351" s="68"/>
      <c r="S351" s="68"/>
      <c r="T351" s="68"/>
      <c r="U351" s="35"/>
      <c r="V351" s="35"/>
      <c r="W351" s="35"/>
      <c r="X351" s="35"/>
      <c r="Y351" s="35"/>
      <c r="Z351" s="35"/>
      <c r="AA351" s="35"/>
      <c r="AB351" s="35"/>
      <c r="AC351" s="60"/>
      <c r="AD351" s="85"/>
      <c r="AE351" s="85"/>
      <c r="AF351" s="85"/>
      <c r="AG351" s="85"/>
      <c r="AH351" s="85"/>
      <c r="AI351" s="85"/>
      <c r="AJ351" s="85"/>
      <c r="AK351" s="85"/>
      <c r="AL351" s="85"/>
      <c r="AM351" s="85"/>
      <c r="AN351" s="85"/>
      <c r="AO351" s="85"/>
      <c r="AP351" s="85"/>
    </row>
    <row r="352" ht="75.0" customHeight="1">
      <c r="A352" s="29"/>
      <c r="B352" s="38" t="s">
        <v>1031</v>
      </c>
      <c r="C352" s="39" t="s">
        <v>1049</v>
      </c>
      <c r="D352" s="40" t="s">
        <v>1050</v>
      </c>
      <c r="E352" s="40" t="s">
        <v>168</v>
      </c>
      <c r="F352" s="40" t="s">
        <v>1051</v>
      </c>
      <c r="G352" s="39" t="s">
        <v>1035</v>
      </c>
      <c r="H352" s="41" t="s">
        <v>170</v>
      </c>
      <c r="I352" s="48" t="s">
        <v>1052</v>
      </c>
      <c r="J352" s="42" t="str">
        <f>IFERROR(__xludf.DUMMYFUNCTION("GOOGLETRANSLATE(I352,""en"",""pl"")"),"Rejestrator NVR serii X 16 kanałów 32 MP, potrójny kodek kompresji H.265/H.264/MJPEG, nagrywanie z kamery sieciowej z prędkością 140 Mb/s / przepustowość odtwarzania 32 Mb/s, ARB (automatyczne odzyskiwanie kopii zapasowej) i tryb awaryjny (N+1), do 8 dysk"&amp;"ów twardych SATA (maks. 80 TB), dwa lokalne monitory HDMI, SUNAPI, ONVIF, łatwa konfiguracja (P2P), obsługa wyszukiwania AI podczas pracy z kamerą Wisenet AI, dysk twardy nie jest dołączony")</f>
        <v>Rejestrator NVR serii X 16 kanałów 32 MP, potrójny kodek kompresji H.265/H.264/MJPEG, nagrywanie z kamery sieciowej z prędkością 140 Mb/s / przepustowość odtwarzania 32 Mb/s, ARB (automatyczne odzyskiwanie kopii zapasowej) i tryb awaryjny (N+1), do 8 dysków twardych SATA (maks. 80 TB), dwa lokalne monitory HDMI, SUNAPI, ONVIF, łatwa konfiguracja (P2P), obsługa wyszukiwania AI podczas pracy z kamerą Wisenet AI, dysk twardy nie jest dołączony</v>
      </c>
      <c r="K352" s="43" t="s">
        <v>21</v>
      </c>
      <c r="L352" s="44">
        <v>1540.0</v>
      </c>
      <c r="M352" s="8"/>
      <c r="N352" s="45" t="s">
        <v>22</v>
      </c>
      <c r="O352" s="97"/>
      <c r="P352" s="36"/>
      <c r="Q352" s="35"/>
      <c r="R352" s="68"/>
      <c r="S352" s="68"/>
      <c r="T352" s="68"/>
      <c r="U352" s="35"/>
      <c r="V352" s="35"/>
      <c r="W352" s="35"/>
      <c r="X352" s="35"/>
      <c r="Y352" s="35"/>
      <c r="Z352" s="35"/>
      <c r="AA352" s="35"/>
      <c r="AB352" s="35"/>
      <c r="AC352" s="60"/>
      <c r="AD352" s="85"/>
      <c r="AE352" s="85"/>
      <c r="AF352" s="85"/>
      <c r="AG352" s="85"/>
      <c r="AH352" s="85"/>
      <c r="AI352" s="85"/>
      <c r="AJ352" s="85"/>
      <c r="AK352" s="85"/>
      <c r="AL352" s="85"/>
      <c r="AM352" s="85"/>
      <c r="AN352" s="85"/>
      <c r="AO352" s="85"/>
      <c r="AP352" s="85"/>
    </row>
    <row r="353" ht="75.0" customHeight="1">
      <c r="A353" s="29"/>
      <c r="B353" s="38" t="s">
        <v>1031</v>
      </c>
      <c r="C353" s="39" t="s">
        <v>1053</v>
      </c>
      <c r="D353" s="40" t="s">
        <v>1054</v>
      </c>
      <c r="E353" s="40" t="s">
        <v>168</v>
      </c>
      <c r="F353" s="40" t="s">
        <v>1051</v>
      </c>
      <c r="G353" s="39" t="s">
        <v>1035</v>
      </c>
      <c r="H353" s="41" t="s">
        <v>170</v>
      </c>
      <c r="I353" s="48" t="s">
        <v>1055</v>
      </c>
      <c r="J353" s="42" t="str">
        <f>IFERROR(__xludf.DUMMYFUNCTION("GOOGLETRANSLATE(I353,""en"",""pl"")"),"Rejestrator NVR serii X 16 kanałów 32 MP, potrójny kodek kompresji H.265/H.264/MJPEG, nagrywanie z kamery sieciowej z prędkością 140 Mb/s / przepustowość odtwarzania 32 Mb/s, ARB (automatyczne odzyskiwanie kopii zapasowej) i tryb failover (N+1), do 8 dysk"&amp;"ów twardych SATA (maks. 80 TB), dwa lokalne monitory HDMI, SUNAPI, ONVIF, łatwa konfiguracja (P2P), obsługa wyszukiwania AI podczas pracy z kamerą Wisenet AI, w zestawie dysk twardy Seagate SKyHawk o pojemności 4 TB (ST4000VX016)")</f>
        <v>Rejestrator NVR serii X 16 kanałów 32 MP, potrójny kodek kompresji H.265/H.264/MJPEG, nagrywanie z kamery sieciowej z prędkością 140 Mb/s / przepustowość odtwarzania 32 Mb/s, ARB (automatyczne odzyskiwanie kopii zapasowej) i tryb failover (N+1), do 8 dysków twardych SATA (maks. 80 TB), dwa lokalne monitory HDMI, SUNAPI, ONVIF, łatwa konfiguracja (P2P), obsługa wyszukiwania AI podczas pracy z kamerą Wisenet AI, w zestawie dysk twardy Seagate SKyHawk o pojemności 4 TB (ST4000VX016)</v>
      </c>
      <c r="K353" s="43" t="s">
        <v>21</v>
      </c>
      <c r="L353" s="44">
        <v>1770.0</v>
      </c>
      <c r="M353" s="8"/>
      <c r="N353" s="45" t="s">
        <v>22</v>
      </c>
      <c r="O353" s="97"/>
      <c r="P353" s="36"/>
      <c r="Q353" s="35"/>
      <c r="R353" s="68"/>
      <c r="S353" s="68"/>
      <c r="T353" s="68"/>
      <c r="U353" s="35"/>
      <c r="V353" s="35"/>
      <c r="W353" s="35"/>
      <c r="X353" s="35"/>
      <c r="Y353" s="35"/>
      <c r="Z353" s="35"/>
      <c r="AA353" s="35"/>
      <c r="AB353" s="35"/>
      <c r="AC353" s="60"/>
      <c r="AD353" s="85"/>
      <c r="AE353" s="85"/>
      <c r="AF353" s="85"/>
      <c r="AG353" s="85"/>
      <c r="AH353" s="85"/>
      <c r="AI353" s="85"/>
      <c r="AJ353" s="85"/>
      <c r="AK353" s="85"/>
      <c r="AL353" s="85"/>
      <c r="AM353" s="85"/>
      <c r="AN353" s="85"/>
      <c r="AO353" s="85"/>
      <c r="AP353" s="85"/>
    </row>
    <row r="354" ht="75.0" customHeight="1">
      <c r="A354" s="29"/>
      <c r="B354" s="38" t="s">
        <v>1031</v>
      </c>
      <c r="C354" s="39" t="s">
        <v>1056</v>
      </c>
      <c r="D354" s="40" t="s">
        <v>1057</v>
      </c>
      <c r="E354" s="40" t="s">
        <v>168</v>
      </c>
      <c r="F354" s="40" t="s">
        <v>1051</v>
      </c>
      <c r="G354" s="39" t="s">
        <v>1035</v>
      </c>
      <c r="H354" s="41" t="s">
        <v>170</v>
      </c>
      <c r="I354" s="48" t="s">
        <v>1058</v>
      </c>
      <c r="J354" s="42" t="str">
        <f>IFERROR(__xludf.DUMMYFUNCTION("GOOGLETRANSLATE(I354,""en"",""pl"")"),"Rejestrator NVR serii X 16 kanałów 32 MP, potrójny kodek kompresji H.265/H.264/MJPEG, nagrywanie z kamery sieciowej z prędkością 140 Mb/s / przepustowość odtwarzania 32 Mb/s, ARB (automatyczne odzyskiwanie kopii zapasowej) i tryb failover (N+1), do 8 dysk"&amp;"ów twardych SATA (maks. 80 TB), dwa lokalne monitory HDMI, SUNAPI, ONVIF, łatwa konfiguracja (P2P), obsługa wyszukiwania AI podczas pracy z kamerą Wisenet AI, w zestawie dysk twardy Seagate SKyHawk o pojemności 6 TB (ST6000VX009)")</f>
        <v>Rejestrator NVR serii X 16 kanałów 32 MP, potrójny kodek kompresji H.265/H.264/MJPEG, nagrywanie z kamery sieciowej z prędkością 140 Mb/s / przepustowość odtwarzania 32 Mb/s, ARB (automatyczne odzyskiwanie kopii zapasowej) i tryb failover (N+1), do 8 dysków twardych SATA (maks. 80 TB), dwa lokalne monitory HDMI, SUNAPI, ONVIF, łatwa konfiguracja (P2P), obsługa wyszukiwania AI podczas pracy z kamerą Wisenet AI, w zestawie dysk twardy Seagate SKyHawk o pojemności 6 TB (ST6000VX009)</v>
      </c>
      <c r="K354" s="43" t="s">
        <v>21</v>
      </c>
      <c r="L354" s="44">
        <v>1950.0</v>
      </c>
      <c r="M354" s="8"/>
      <c r="N354" s="45" t="s">
        <v>22</v>
      </c>
      <c r="O354" s="97"/>
      <c r="P354" s="36"/>
      <c r="Q354" s="35"/>
      <c r="R354" s="68"/>
      <c r="S354" s="68"/>
      <c r="T354" s="68"/>
      <c r="U354" s="35"/>
      <c r="V354" s="35"/>
      <c r="W354" s="35"/>
      <c r="X354" s="35"/>
      <c r="Y354" s="35"/>
      <c r="Z354" s="35"/>
      <c r="AA354" s="35"/>
      <c r="AB354" s="35"/>
      <c r="AC354" s="60"/>
      <c r="AD354" s="85"/>
      <c r="AE354" s="85"/>
      <c r="AF354" s="85"/>
      <c r="AG354" s="85"/>
      <c r="AH354" s="85"/>
      <c r="AI354" s="85"/>
      <c r="AJ354" s="85"/>
      <c r="AK354" s="85"/>
      <c r="AL354" s="85"/>
      <c r="AM354" s="85"/>
      <c r="AN354" s="85"/>
      <c r="AO354" s="85"/>
      <c r="AP354" s="85"/>
    </row>
    <row r="355" ht="75.0" customHeight="1">
      <c r="A355" s="29"/>
      <c r="B355" s="38" t="s">
        <v>1031</v>
      </c>
      <c r="C355" s="39" t="s">
        <v>1059</v>
      </c>
      <c r="D355" s="40" t="s">
        <v>1060</v>
      </c>
      <c r="E355" s="40" t="s">
        <v>168</v>
      </c>
      <c r="F355" s="40" t="s">
        <v>1051</v>
      </c>
      <c r="G355" s="39" t="s">
        <v>1035</v>
      </c>
      <c r="H355" s="41" t="s">
        <v>170</v>
      </c>
      <c r="I355" s="48" t="s">
        <v>1061</v>
      </c>
      <c r="J355" s="42" t="str">
        <f>IFERROR(__xludf.DUMMYFUNCTION("GOOGLETRANSLATE(I355,""en"",""pl"")"),"Rejestrator NVR serii X 16 kanałów 32 MP, potrójny kodek kompresji H.265/H.264/MJPEG, nagrywanie z kamery sieciowej z prędkością 140 Mb/s / przepustowość odtwarzania 32 Mb/s, ARB (automatyczne odzyskiwanie kopii zapasowej) i tryb failover (N+1), do 8 dysk"&amp;"ów twardych SATA (maks. 80 TB), dwa lokalne monitory HDMI, SUNAPI, ONVIF, łatwa konfiguracja (P2P), obsługa wyszukiwania AI podczas pracy z kamerą Wisenet AI, w zestawie dysk twardy Seagate SKyHawk o pojemności 8 TB (ST8000VX010)")</f>
        <v>Rejestrator NVR serii X 16 kanałów 32 MP, potrójny kodek kompresji H.265/H.264/MJPEG, nagrywanie z kamery sieciowej z prędkością 140 Mb/s / przepustowość odtwarzania 32 Mb/s, ARB (automatyczne odzyskiwanie kopii zapasowej) i tryb failover (N+1), do 8 dysków twardych SATA (maks. 80 TB), dwa lokalne monitory HDMI, SUNAPI, ONVIF, łatwa konfiguracja (P2P), obsługa wyszukiwania AI podczas pracy z kamerą Wisenet AI, w zestawie dysk twardy Seagate SKyHawk o pojemności 8 TB (ST8000VX010)</v>
      </c>
      <c r="K355" s="43" t="s">
        <v>21</v>
      </c>
      <c r="L355" s="44">
        <v>2040.0</v>
      </c>
      <c r="M355" s="8"/>
      <c r="N355" s="45" t="s">
        <v>22</v>
      </c>
      <c r="O355" s="97"/>
      <c r="P355" s="36"/>
      <c r="Q355" s="35"/>
      <c r="R355" s="68"/>
      <c r="S355" s="68"/>
      <c r="T355" s="68"/>
      <c r="U355" s="35"/>
      <c r="V355" s="35"/>
      <c r="W355" s="35"/>
      <c r="X355" s="35"/>
      <c r="Y355" s="35"/>
      <c r="Z355" s="35"/>
      <c r="AA355" s="35"/>
      <c r="AB355" s="35"/>
      <c r="AC355" s="60"/>
      <c r="AD355" s="85"/>
      <c r="AE355" s="85"/>
      <c r="AF355" s="85"/>
      <c r="AG355" s="85"/>
      <c r="AH355" s="85"/>
      <c r="AI355" s="85"/>
      <c r="AJ355" s="85"/>
      <c r="AK355" s="85"/>
      <c r="AL355" s="85"/>
      <c r="AM355" s="85"/>
      <c r="AN355" s="85"/>
      <c r="AO355" s="85"/>
      <c r="AP355" s="85"/>
    </row>
    <row r="356" ht="75.0" customHeight="1">
      <c r="A356" s="29"/>
      <c r="B356" s="38" t="s">
        <v>1031</v>
      </c>
      <c r="C356" s="39" t="s">
        <v>1062</v>
      </c>
      <c r="D356" s="40" t="s">
        <v>1063</v>
      </c>
      <c r="E356" s="40" t="s">
        <v>168</v>
      </c>
      <c r="F356" s="40" t="s">
        <v>1051</v>
      </c>
      <c r="G356" s="39" t="s">
        <v>1035</v>
      </c>
      <c r="H356" s="41" t="s">
        <v>170</v>
      </c>
      <c r="I356" s="48" t="s">
        <v>1064</v>
      </c>
      <c r="J356" s="42" t="str">
        <f>IFERROR(__xludf.DUMMYFUNCTION("GOOGLETRANSLATE(I356,""en"",""pl"")"),"Rejestrator NVR serii X 16 kanałów 32 MP, potrójny kodek kompresji H.265/H.264/MJPEG, nagrywanie z kamery sieciowej z przepustowością 140 Mb/s / odtwarzanie 32 Mb/s, funkcja Plug &amp; Play przez 16 portów PoE, ARB (automatyczne odzyskiwanie kopii zapasowej) "&amp;"i tryb failover (N+1), do 4 dysków twardych SATA (maks. 24 TB), dwa lokalne monitory HDMI, SUNAPI, ONVIF, łatwa konfiguracja (P2P), obsługa wyszukiwania AI podczas pracy z kamerą Wisenet AI, dysk twardy nie jest dołączony")</f>
        <v>Rejestrator NVR serii X 16 kanałów 32 MP, potrójny kodek kompresji H.265/H.264/MJPEG, nagrywanie z kamery sieciowej z przepustowością 140 Mb/s / odtwarzanie 32 Mb/s, funkcja Plug &amp; Play przez 16 portów PoE, ARB (automatyczne odzyskiwanie kopii zapasowej) i tryb failover (N+1), do 4 dysków twardych SATA (maks. 24 TB), dwa lokalne monitory HDMI, SUNAPI, ONVIF, łatwa konfiguracja (P2P), obsługa wyszukiwania AI podczas pracy z kamerą Wisenet AI, dysk twardy nie jest dołączony</v>
      </c>
      <c r="K356" s="43" t="s">
        <v>21</v>
      </c>
      <c r="L356" s="44">
        <v>1700.0</v>
      </c>
      <c r="M356" s="8"/>
      <c r="N356" s="45" t="s">
        <v>22</v>
      </c>
      <c r="O356" s="97"/>
      <c r="P356" s="36"/>
      <c r="Q356" s="35"/>
      <c r="R356" s="68"/>
      <c r="S356" s="68"/>
      <c r="T356" s="68"/>
      <c r="U356" s="35"/>
      <c r="V356" s="35"/>
      <c r="W356" s="35"/>
      <c r="X356" s="35"/>
      <c r="Y356" s="35"/>
      <c r="Z356" s="35"/>
      <c r="AA356" s="35"/>
      <c r="AB356" s="35"/>
      <c r="AC356" s="60"/>
      <c r="AD356" s="85"/>
      <c r="AE356" s="85"/>
      <c r="AF356" s="85"/>
      <c r="AG356" s="85"/>
      <c r="AH356" s="85"/>
      <c r="AI356" s="85"/>
      <c r="AJ356" s="85"/>
      <c r="AK356" s="85"/>
      <c r="AL356" s="85"/>
      <c r="AM356" s="85"/>
      <c r="AN356" s="85"/>
      <c r="AO356" s="85"/>
      <c r="AP356" s="85"/>
    </row>
    <row r="357" ht="75.0" customHeight="1">
      <c r="A357" s="29"/>
      <c r="B357" s="38" t="s">
        <v>1031</v>
      </c>
      <c r="C357" s="39" t="s">
        <v>1065</v>
      </c>
      <c r="D357" s="40" t="s">
        <v>1066</v>
      </c>
      <c r="E357" s="40" t="s">
        <v>168</v>
      </c>
      <c r="F357" s="40" t="s">
        <v>1051</v>
      </c>
      <c r="G357" s="39" t="s">
        <v>1035</v>
      </c>
      <c r="H357" s="41" t="s">
        <v>170</v>
      </c>
      <c r="I357" s="48" t="s">
        <v>1067</v>
      </c>
      <c r="J357" s="42" t="str">
        <f>IFERROR(__xludf.DUMMYFUNCTION("GOOGLETRANSLATE(I357,""en"",""pl"")"),"Rejestrator NVR serii X 16 kanałów 32 MP, potrójny kodek kompresji H.265/H.264/MJPEG, nagrywanie z kamery sieciowej z przepustowością 140 Mb/s / odtwarzanie 32 Mb/s, technologia Plug &amp; Play przez 16 portów PoE, funkcja ARB (automatyczne odzyskiwanie kopii"&amp;" zapasowej) i tryb failover (N+1), do 4 dysków twardych SATA (maks. 24 TB), dwa lokalne monitory HDMI, SUNAPI, ONVIF, łatwa konfiguracja (P2P), obsługa wyszukiwania AI podczas pracy z kamerą Wisenet AI, w zestawie dysk twardy Seagate SKyHawk o pojemności "&amp;"4 TB (ST4000VX016)")</f>
        <v>Rejestrator NVR serii X 16 kanałów 32 MP, potrójny kodek kompresji H.265/H.264/MJPEG, nagrywanie z kamery sieciowej z przepustowością 140 Mb/s / odtwarzanie 32 Mb/s, technologia Plug &amp; Play przez 16 portów PoE, funkcja ARB (automatyczne odzyskiwanie kopii zapasowej) i tryb failover (N+1), do 4 dysków twardych SATA (maks. 24 TB), dwa lokalne monitory HDMI, SUNAPI, ONVIF, łatwa konfiguracja (P2P), obsługa wyszukiwania AI podczas pracy z kamerą Wisenet AI, w zestawie dysk twardy Seagate SKyHawk o pojemności 4 TB (ST4000VX016)</v>
      </c>
      <c r="K357" s="43" t="s">
        <v>21</v>
      </c>
      <c r="L357" s="44">
        <v>1930.0</v>
      </c>
      <c r="M357" s="8"/>
      <c r="N357" s="45" t="s">
        <v>22</v>
      </c>
      <c r="O357" s="97"/>
      <c r="P357" s="36"/>
      <c r="Q357" s="35"/>
      <c r="R357" s="68"/>
      <c r="S357" s="68"/>
      <c r="T357" s="68"/>
      <c r="U357" s="35"/>
      <c r="V357" s="35"/>
      <c r="W357" s="35"/>
      <c r="X357" s="35"/>
      <c r="Y357" s="35"/>
      <c r="Z357" s="35"/>
      <c r="AA357" s="35"/>
      <c r="AB357" s="35"/>
      <c r="AC357" s="60"/>
      <c r="AD357" s="85"/>
      <c r="AE357" s="85"/>
      <c r="AF357" s="85"/>
      <c r="AG357" s="85"/>
      <c r="AH357" s="85"/>
      <c r="AI357" s="85"/>
      <c r="AJ357" s="85"/>
      <c r="AK357" s="85"/>
      <c r="AL357" s="85"/>
      <c r="AM357" s="85"/>
      <c r="AN357" s="85"/>
      <c r="AO357" s="85"/>
      <c r="AP357" s="85"/>
    </row>
    <row r="358" ht="75.0" customHeight="1">
      <c r="A358" s="29"/>
      <c r="B358" s="38" t="s">
        <v>1031</v>
      </c>
      <c r="C358" s="39" t="s">
        <v>1068</v>
      </c>
      <c r="D358" s="40" t="s">
        <v>1069</v>
      </c>
      <c r="E358" s="40" t="s">
        <v>168</v>
      </c>
      <c r="F358" s="40" t="s">
        <v>1051</v>
      </c>
      <c r="G358" s="39" t="s">
        <v>1035</v>
      </c>
      <c r="H358" s="41" t="s">
        <v>170</v>
      </c>
      <c r="I358" s="48" t="s">
        <v>1070</v>
      </c>
      <c r="J358" s="42" t="str">
        <f>IFERROR(__xludf.DUMMYFUNCTION("GOOGLETRANSLATE(I358,""en"",""pl"")"),"Rejestrator NVR serii X 16 kanałów 32 MP, potrójny kodek kompresji H.265/H.264/MJPEG, nagrywanie z kamery sieciowej z przepustowością 140 Mb/s / odtwarzanie 32 Mb/s, technologia Plug &amp; Play przez 16 portów PoE, funkcja ARB (automatyczne odzyskiwanie kopii"&amp;" zapasowej) i tryb failover (N+1), do 4 dysków twardych SATA (maks. 24 TB), dwa lokalne monitory HDMI, SUNAPI, ONVIF, łatwa konfiguracja (P2P), obsługa wyszukiwania AI podczas pracy z kamerą Wisenet AI, w zestawie dysk twardy Seagate SKyHawk o pojemności "&amp;"6 TB (ST6000VX009)")</f>
        <v>Rejestrator NVR serii X 16 kanałów 32 MP, potrójny kodek kompresji H.265/H.264/MJPEG, nagrywanie z kamery sieciowej z przepustowością 140 Mb/s / odtwarzanie 32 Mb/s, technologia Plug &amp; Play przez 16 portów PoE, funkcja ARB (automatyczne odzyskiwanie kopii zapasowej) i tryb failover (N+1), do 4 dysków twardych SATA (maks. 24 TB), dwa lokalne monitory HDMI, SUNAPI, ONVIF, łatwa konfiguracja (P2P), obsługa wyszukiwania AI podczas pracy z kamerą Wisenet AI, w zestawie dysk twardy Seagate SKyHawk o pojemności 6 TB (ST6000VX009)</v>
      </c>
      <c r="K358" s="43" t="s">
        <v>21</v>
      </c>
      <c r="L358" s="44">
        <v>2110.0</v>
      </c>
      <c r="M358" s="8"/>
      <c r="N358" s="45" t="s">
        <v>22</v>
      </c>
      <c r="O358" s="97"/>
      <c r="P358" s="36"/>
      <c r="Q358" s="35"/>
      <c r="R358" s="68"/>
      <c r="S358" s="68"/>
      <c r="T358" s="68"/>
      <c r="U358" s="35"/>
      <c r="V358" s="35"/>
      <c r="W358" s="35"/>
      <c r="X358" s="35"/>
      <c r="Y358" s="35"/>
      <c r="Z358" s="35"/>
      <c r="AA358" s="35"/>
      <c r="AB358" s="35"/>
      <c r="AC358" s="60"/>
      <c r="AD358" s="85"/>
      <c r="AE358" s="85"/>
      <c r="AF358" s="85"/>
      <c r="AG358" s="85"/>
      <c r="AH358" s="85"/>
      <c r="AI358" s="85"/>
      <c r="AJ358" s="85"/>
      <c r="AK358" s="85"/>
      <c r="AL358" s="85"/>
      <c r="AM358" s="85"/>
      <c r="AN358" s="85"/>
      <c r="AO358" s="85"/>
      <c r="AP358" s="85"/>
    </row>
    <row r="359" ht="75.0" customHeight="1">
      <c r="A359" s="29"/>
      <c r="B359" s="38" t="s">
        <v>1031</v>
      </c>
      <c r="C359" s="39" t="s">
        <v>1071</v>
      </c>
      <c r="D359" s="40" t="s">
        <v>1072</v>
      </c>
      <c r="E359" s="40" t="s">
        <v>168</v>
      </c>
      <c r="F359" s="40" t="s">
        <v>1047</v>
      </c>
      <c r="G359" s="39" t="s">
        <v>1035</v>
      </c>
      <c r="H359" s="41" t="s">
        <v>170</v>
      </c>
      <c r="I359" s="48" t="s">
        <v>1073</v>
      </c>
      <c r="J359" s="42" t="str">
        <f>IFERROR(__xludf.DUMMYFUNCTION("GOOGLETRANSLATE(I359,""en"",""pl"")"),"Rejestrator NVR 8K (oparty na procesorze Intel), 32 kanały, brak dysku twardego, 8 zatok na dysk twardy SATA (do 10 TB na dysk twardy), H.265/H.264/MJPEG, nagrywanie z prędkością do 520 Mb/s, HDMI (x2) – dwa wyświetlacze, wejście/wyjście alarmowe, dwukier"&amp;"unkowa transmisja dźwięku")</f>
        <v>Rejestrator NVR 8K (oparty na procesorze Intel), 32 kanały, brak dysku twardego, 8 zatok na dysk twardy SATA (do 10 TB na dysk twardy), H.265/H.264/MJPEG, nagrywanie z prędkością do 520 Mb/s, HDMI (x2) – dwa wyświetlacze, wejście/wyjście alarmowe, dwukierunkowa transmisja dźwięku</v>
      </c>
      <c r="K359" s="43" t="s">
        <v>21</v>
      </c>
      <c r="L359" s="44">
        <v>3427.0</v>
      </c>
      <c r="M359" s="8"/>
      <c r="N359" s="45" t="s">
        <v>22</v>
      </c>
      <c r="O359" s="97"/>
      <c r="P359" s="36"/>
      <c r="Q359" s="35"/>
      <c r="R359" s="68"/>
      <c r="S359" s="68"/>
      <c r="T359" s="68"/>
      <c r="U359" s="35"/>
      <c r="V359" s="35"/>
      <c r="W359" s="35"/>
      <c r="X359" s="35"/>
      <c r="Y359" s="35"/>
      <c r="Z359" s="35"/>
      <c r="AA359" s="35"/>
      <c r="AB359" s="35"/>
      <c r="AC359" s="60"/>
      <c r="AD359" s="85"/>
      <c r="AE359" s="85"/>
      <c r="AF359" s="85"/>
      <c r="AG359" s="85"/>
      <c r="AH359" s="85"/>
      <c r="AI359" s="85"/>
      <c r="AJ359" s="85"/>
      <c r="AK359" s="85"/>
      <c r="AL359" s="85"/>
      <c r="AM359" s="85"/>
      <c r="AN359" s="85"/>
      <c r="AO359" s="85"/>
      <c r="AP359" s="85"/>
    </row>
    <row r="360" ht="75.0" customHeight="1">
      <c r="A360" s="29"/>
      <c r="B360" s="38" t="s">
        <v>1031</v>
      </c>
      <c r="C360" s="39" t="s">
        <v>1074</v>
      </c>
      <c r="D360" s="40" t="s">
        <v>1072</v>
      </c>
      <c r="E360" s="40" t="s">
        <v>168</v>
      </c>
      <c r="F360" s="40" t="s">
        <v>1047</v>
      </c>
      <c r="G360" s="39" t="s">
        <v>1035</v>
      </c>
      <c r="H360" s="41" t="s">
        <v>170</v>
      </c>
      <c r="I360" s="48" t="s">
        <v>1075</v>
      </c>
      <c r="J360" s="42" t="str">
        <f>IFERROR(__xludf.DUMMYFUNCTION("GOOGLETRANSLATE(I360,""en"",""pl"")"),"Rejestrator NVR 8K (oparty na procesorze Intel), 32 kanały, brak dysku twardego, 8 zatok na dyski twarde SATA (do 10 TB na dysk), H.265/H.264/MJPEG, nagrywanie z prędkością do 520 Mb/s, dwa wyświetlacze HDMI (x2), wejście/wyjście alarmowe, dwukierunkowa t"&amp;"ransmisja dźwięku, obsługa RAID 5/6 (UWAGA: wymagana jest minimalna liczba dysków twardych na typ RAID)")</f>
        <v>Rejestrator NVR 8K (oparty na procesorze Intel), 32 kanały, brak dysku twardego, 8 zatok na dyski twarde SATA (do 10 TB na dysk), H.265/H.264/MJPEG, nagrywanie z prędkością do 520 Mb/s, dwa wyświetlacze HDMI (x2), wejście/wyjście alarmowe, dwukierunkowa transmisja dźwięku, obsługa RAID 5/6 (UWAGA: wymagana jest minimalna liczba dysków twardych na typ RAID)</v>
      </c>
      <c r="K360" s="43" t="s">
        <v>21</v>
      </c>
      <c r="L360" s="44">
        <v>4707.0</v>
      </c>
      <c r="M360" s="8"/>
      <c r="N360" s="45" t="s">
        <v>22</v>
      </c>
      <c r="O360" s="97"/>
      <c r="P360" s="36"/>
      <c r="Q360" s="35"/>
      <c r="R360" s="68"/>
      <c r="S360" s="68"/>
      <c r="T360" s="68"/>
      <c r="U360" s="35"/>
      <c r="V360" s="35"/>
      <c r="W360" s="35"/>
      <c r="X360" s="35"/>
      <c r="Y360" s="35"/>
      <c r="Z360" s="35"/>
      <c r="AA360" s="35"/>
      <c r="AB360" s="35"/>
      <c r="AC360" s="60"/>
      <c r="AD360" s="85"/>
      <c r="AE360" s="85"/>
      <c r="AF360" s="85"/>
      <c r="AG360" s="85"/>
      <c r="AH360" s="85"/>
      <c r="AI360" s="85"/>
      <c r="AJ360" s="85"/>
      <c r="AK360" s="85"/>
      <c r="AL360" s="85"/>
      <c r="AM360" s="85"/>
      <c r="AN360" s="85"/>
      <c r="AO360" s="85"/>
      <c r="AP360" s="85"/>
    </row>
    <row r="361" ht="75.0" customHeight="1">
      <c r="A361" s="29"/>
      <c r="B361" s="38" t="s">
        <v>1031</v>
      </c>
      <c r="C361" s="39" t="s">
        <v>1076</v>
      </c>
      <c r="D361" s="40" t="s">
        <v>1077</v>
      </c>
      <c r="E361" s="40" t="s">
        <v>168</v>
      </c>
      <c r="F361" s="40" t="s">
        <v>1041</v>
      </c>
      <c r="G361" s="39" t="s">
        <v>1035</v>
      </c>
      <c r="H361" s="41" t="s">
        <v>170</v>
      </c>
      <c r="I361" s="48" t="s">
        <v>1078</v>
      </c>
      <c r="J361" s="42" t="str">
        <f>IFERROR(__xludf.DUMMYFUNCTION("GOOGLETRANSLATE(I361,""en"",""pl"")"),"Rejestrator NVR 8K (oparty na procesorze Intel), 64 kanały, brak dysku twardego, 8 zatok na dysk twardy SATA (do 10 TB na dysk twardy), H.265/H.264/MJPEG, nagrywanie z prędkością do 520 Mb/s, HDMI (x2) – dwa wyświetlacze, wejście/wyjście alarmowe, dwukier"&amp;"unkowa transmisja dźwięku")</f>
        <v>Rejestrator NVR 8K (oparty na procesorze Intel), 64 kanały, brak dysku twardego, 8 zatok na dysk twardy SATA (do 10 TB na dysk twardy), H.265/H.264/MJPEG, nagrywanie z prędkością do 520 Mb/s, HDMI (x2) – dwa wyświetlacze, wejście/wyjście alarmowe, dwukierunkowa transmisja dźwięku</v>
      </c>
      <c r="K361" s="43" t="s">
        <v>21</v>
      </c>
      <c r="L361" s="44">
        <v>4174.0</v>
      </c>
      <c r="M361" s="8"/>
      <c r="N361" s="45" t="s">
        <v>22</v>
      </c>
      <c r="O361" s="97"/>
      <c r="P361" s="36"/>
      <c r="Q361" s="35"/>
      <c r="R361" s="68"/>
      <c r="S361" s="68"/>
      <c r="T361" s="68"/>
      <c r="U361" s="35"/>
      <c r="V361" s="35"/>
      <c r="W361" s="35"/>
      <c r="X361" s="35"/>
      <c r="Y361" s="35"/>
      <c r="Z361" s="35"/>
      <c r="AA361" s="35"/>
      <c r="AB361" s="35"/>
      <c r="AC361" s="60"/>
      <c r="AD361" s="85"/>
      <c r="AE361" s="85"/>
      <c r="AF361" s="85"/>
      <c r="AG361" s="85"/>
      <c r="AH361" s="85"/>
      <c r="AI361" s="85"/>
      <c r="AJ361" s="85"/>
      <c r="AK361" s="85"/>
      <c r="AL361" s="85"/>
      <c r="AM361" s="85"/>
      <c r="AN361" s="85"/>
      <c r="AO361" s="85"/>
      <c r="AP361" s="85"/>
    </row>
    <row r="362" ht="75.0" customHeight="1">
      <c r="A362" s="29"/>
      <c r="B362" s="38" t="s">
        <v>1031</v>
      </c>
      <c r="C362" s="39" t="s">
        <v>1079</v>
      </c>
      <c r="D362" s="40" t="s">
        <v>1077</v>
      </c>
      <c r="E362" s="40" t="s">
        <v>168</v>
      </c>
      <c r="F362" s="40" t="s">
        <v>1041</v>
      </c>
      <c r="G362" s="39" t="s">
        <v>1035</v>
      </c>
      <c r="H362" s="41" t="s">
        <v>170</v>
      </c>
      <c r="I362" s="48" t="s">
        <v>1080</v>
      </c>
      <c r="J362" s="42" t="str">
        <f>IFERROR(__xludf.DUMMYFUNCTION("GOOGLETRANSLATE(I362,""en"",""pl"")"),"Rejestrator NVR 8K (oparty na procesorze Intel), 64 kanały, brak dysku twardego, 8 zatok na dyski twarde SATA (do 10 TB na dysk), H.265/H.264/MJPEG, nagrywanie z prędkością do 520 Mb/s, dwa wyświetlacze HDMI (x2), wejście/wyjście alarmowe, dwukierunkowa o"&amp;"bsługa dźwięku dla macierzy RAID 5/6 (UWAGA: wymagana jest minimalna liczba dysków twardych na typ macierzy RAID)")</f>
        <v>Rejestrator NVR 8K (oparty na procesorze Intel), 64 kanały, brak dysku twardego, 8 zatok na dyski twarde SATA (do 10 TB na dysk), H.265/H.264/MJPEG, nagrywanie z prędkością do 520 Mb/s, dwa wyświetlacze HDMI (x2), wejście/wyjście alarmowe, dwukierunkowa obsługa dźwięku dla macierzy RAID 5/6 (UWAGA: wymagana jest minimalna liczba dysków twardych na typ macierzy RAID)</v>
      </c>
      <c r="K362" s="43" t="s">
        <v>21</v>
      </c>
      <c r="L362" s="44">
        <v>5454.0</v>
      </c>
      <c r="M362" s="8"/>
      <c r="N362" s="45" t="s">
        <v>22</v>
      </c>
      <c r="O362" s="97"/>
      <c r="P362" s="36"/>
      <c r="Q362" s="35"/>
      <c r="R362" s="68"/>
      <c r="S362" s="68"/>
      <c r="T362" s="68"/>
      <c r="U362" s="35"/>
      <c r="V362" s="35"/>
      <c r="W362" s="35"/>
      <c r="X362" s="35"/>
      <c r="Y362" s="35"/>
      <c r="Z362" s="35"/>
      <c r="AA362" s="35"/>
      <c r="AB362" s="35"/>
      <c r="AC362" s="60"/>
      <c r="AD362" s="85"/>
      <c r="AE362" s="85"/>
      <c r="AF362" s="85"/>
      <c r="AG362" s="85"/>
      <c r="AH362" s="85"/>
      <c r="AI362" s="85"/>
      <c r="AJ362" s="85"/>
      <c r="AK362" s="85"/>
      <c r="AL362" s="85"/>
      <c r="AM362" s="85"/>
      <c r="AN362" s="85"/>
      <c r="AO362" s="85"/>
      <c r="AP362" s="85"/>
    </row>
    <row r="363" ht="75.0" customHeight="1">
      <c r="A363" s="29"/>
      <c r="B363" s="38" t="s">
        <v>1031</v>
      </c>
      <c r="C363" s="39" t="s">
        <v>1081</v>
      </c>
      <c r="D363" s="40" t="s">
        <v>1082</v>
      </c>
      <c r="E363" s="40" t="s">
        <v>168</v>
      </c>
      <c r="F363" s="40" t="s">
        <v>1083</v>
      </c>
      <c r="G363" s="39" t="s">
        <v>1035</v>
      </c>
      <c r="H363" s="41" t="s">
        <v>170</v>
      </c>
      <c r="I363" s="48" t="s">
        <v>1084</v>
      </c>
      <c r="J363" s="42" t="str">
        <f>IFERROR(__xludf.DUMMYFUNCTION("GOOGLETRANSLATE(I363,""en"",""pl"")"),"Rejestrator NVR serii X 8CH 32MP, potrójny kodek kompresji H.265/H.264/MJPEG, nagrywanie z kamery sieciowej z prędkością 100 Mb/s / przepustowość odtwarzania 32 Mb/s, funkcja Plug &amp; Play przez 8 portów PoE, ARB (automatyczne odzyskiwanie kopii zapasowej) "&amp;"i tryb failover (N+1), do 2 dysków twardych SATA (maks. 12 TB), dwa lokalne monitory HDMI, SUNAPI, ONVIF, łatwa konfiguracja (P2P), obsługa wyszukiwania AI podczas pracy z kamerą Wisenet AI, dysk twardy nie jest dołączony")</f>
        <v>Rejestrator NVR serii X 8CH 32MP, potrójny kodek kompresji H.265/H.264/MJPEG, nagrywanie z kamery sieciowej z prędkością 100 Mb/s / przepustowość odtwarzania 32 Mb/s, funkcja Plug &amp; Play przez 8 portów PoE, ARB (automatyczne odzyskiwanie kopii zapasowej) i tryb failover (N+1), do 2 dysków twardych SATA (maks. 12 TB), dwa lokalne monitory HDMI, SUNAPI, ONVIF, łatwa konfiguracja (P2P), obsługa wyszukiwania AI podczas pracy z kamerą Wisenet AI, dysk twardy nie jest dołączony</v>
      </c>
      <c r="K363" s="43" t="s">
        <v>21</v>
      </c>
      <c r="L363" s="44">
        <v>1200.0</v>
      </c>
      <c r="M363" s="8"/>
      <c r="N363" s="45" t="s">
        <v>22</v>
      </c>
      <c r="O363" s="97"/>
      <c r="P363" s="36"/>
      <c r="Q363" s="35"/>
      <c r="R363" s="68"/>
      <c r="S363" s="68"/>
      <c r="T363" s="68"/>
      <c r="U363" s="35"/>
      <c r="V363" s="35"/>
      <c r="W363" s="35"/>
      <c r="X363" s="35"/>
      <c r="Y363" s="35"/>
      <c r="Z363" s="35"/>
      <c r="AA363" s="35"/>
      <c r="AB363" s="35"/>
      <c r="AC363" s="60"/>
      <c r="AD363" s="85"/>
      <c r="AE363" s="85"/>
      <c r="AF363" s="85"/>
      <c r="AG363" s="85"/>
      <c r="AH363" s="85"/>
      <c r="AI363" s="85"/>
      <c r="AJ363" s="85"/>
      <c r="AK363" s="85"/>
      <c r="AL363" s="85"/>
      <c r="AM363" s="85"/>
      <c r="AN363" s="85"/>
      <c r="AO363" s="85"/>
      <c r="AP363" s="85"/>
    </row>
    <row r="364" ht="75.0" customHeight="1">
      <c r="A364" s="29"/>
      <c r="B364" s="38" t="s">
        <v>1031</v>
      </c>
      <c r="C364" s="39" t="s">
        <v>1085</v>
      </c>
      <c r="D364" s="40" t="s">
        <v>1086</v>
      </c>
      <c r="E364" s="40" t="s">
        <v>168</v>
      </c>
      <c r="F364" s="40" t="s">
        <v>1083</v>
      </c>
      <c r="G364" s="39" t="s">
        <v>1035</v>
      </c>
      <c r="H364" s="41" t="s">
        <v>170</v>
      </c>
      <c r="I364" s="48" t="s">
        <v>1087</v>
      </c>
      <c r="J364" s="42" t="str">
        <f>IFERROR(__xludf.DUMMYFUNCTION("GOOGLETRANSLATE(I364,""en"",""pl"")"),"Rejestrator NVR serii X 8CH 32MP, potrójny kodek kompresji H.265/H.264/MJPEG, nagrywanie z kamery sieciowej z prędkością 100 Mb/s / przepustowość odtwarzania 32 Mb/s, technologia Plug &amp; Play dzięki 8 portom PoE, funkcja ARB (automatyczne odzyskiwanie kopi"&amp;"i zapasowej) i tryb failover (N+1), do 2 dysków twardych SATA (maks. 12 TB), dwa lokalne monitory HDMI, SUNAPI, ONVIF, łatwa konfiguracja (P2P), obsługa wyszukiwania AI podczas pracy z kamerą Wisenet AI, w zestawie dysk twardy Seagate SKyHawk o pojemności"&amp;" 4 TB (ST4000VX016)")</f>
        <v>Rejestrator NVR serii X 8CH 32MP, potrójny kodek kompresji H.265/H.264/MJPEG, nagrywanie z kamery sieciowej z prędkością 100 Mb/s / przepustowość odtwarzania 32 Mb/s, technologia Plug &amp; Play dzięki 8 portom PoE, funkcja ARB (automatyczne odzyskiwanie kopii zapasowej) i tryb failover (N+1), do 2 dysków twardych SATA (maks. 12 TB), dwa lokalne monitory HDMI, SUNAPI, ONVIF, łatwa konfiguracja (P2P), obsługa wyszukiwania AI podczas pracy z kamerą Wisenet AI, w zestawie dysk twardy Seagate SKyHawk o pojemności 4 TB (ST4000VX016)</v>
      </c>
      <c r="K364" s="43" t="s">
        <v>21</v>
      </c>
      <c r="L364" s="44">
        <v>1430.0</v>
      </c>
      <c r="M364" s="8"/>
      <c r="N364" s="45" t="s">
        <v>22</v>
      </c>
      <c r="O364" s="97"/>
      <c r="P364" s="36"/>
      <c r="Q364" s="35"/>
      <c r="R364" s="68"/>
      <c r="S364" s="68"/>
      <c r="T364" s="68"/>
      <c r="U364" s="35"/>
      <c r="V364" s="35"/>
      <c r="W364" s="35"/>
      <c r="X364" s="35"/>
      <c r="Y364" s="35"/>
      <c r="Z364" s="35"/>
      <c r="AA364" s="35"/>
      <c r="AB364" s="35"/>
      <c r="AC364" s="101"/>
      <c r="AD364" s="98"/>
      <c r="AE364" s="98"/>
      <c r="AF364" s="98"/>
      <c r="AG364" s="98"/>
      <c r="AH364" s="98"/>
      <c r="AI364" s="85"/>
      <c r="AJ364" s="85"/>
      <c r="AK364" s="85"/>
      <c r="AL364" s="85"/>
      <c r="AM364" s="85"/>
      <c r="AN364" s="85"/>
      <c r="AO364" s="85"/>
      <c r="AP364" s="85"/>
    </row>
    <row r="365" ht="75.0" customHeight="1">
      <c r="A365" s="29"/>
      <c r="B365" s="38" t="s">
        <v>1031</v>
      </c>
      <c r="C365" s="39" t="s">
        <v>1088</v>
      </c>
      <c r="D365" s="40" t="s">
        <v>1089</v>
      </c>
      <c r="E365" s="40" t="s">
        <v>168</v>
      </c>
      <c r="F365" s="40" t="s">
        <v>1083</v>
      </c>
      <c r="G365" s="39" t="s">
        <v>1035</v>
      </c>
      <c r="H365" s="41" t="s">
        <v>170</v>
      </c>
      <c r="I365" s="48" t="s">
        <v>1090</v>
      </c>
      <c r="J365" s="42" t="str">
        <f>IFERROR(__xludf.DUMMYFUNCTION("GOOGLETRANSLATE(I365,""en"",""pl"")"),"Rejestrator NVR serii X 8CH 32MP, potrójny kodek kompresji H.265/H.264/MJPEG, nagrywanie z kamery sieciowej z prędkością 100 Mb/s / przepustowość odtwarzania 32 Mb/s, technologia Plug &amp; Play dzięki 8 portom PoE, funkcja ARB (automatyczne odzyskiwanie kopi"&amp;"i zapasowej) i tryb failover (N+1), do 2 dysków twardych SATA (maks. 12 TB), dwa lokalne monitory HDMI, SUNAPI, ONVIF, łatwa konfiguracja (P2P), obsługa wyszukiwania AI podczas pracy z kamerą Wisenet AI, w zestawie dysk twardy Seagate SKyHawk o pojemności"&amp;" 6 TB (ST6000VX009)")</f>
        <v>Rejestrator NVR serii X 8CH 32MP, potrójny kodek kompresji H.265/H.264/MJPEG, nagrywanie z kamery sieciowej z prędkością 100 Mb/s / przepustowość odtwarzania 32 Mb/s, technologia Plug &amp; Play dzięki 8 portom PoE, funkcja ARB (automatyczne odzyskiwanie kopii zapasowej) i tryb failover (N+1), do 2 dysków twardych SATA (maks. 12 TB), dwa lokalne monitory HDMI, SUNAPI, ONVIF, łatwa konfiguracja (P2P), obsługa wyszukiwania AI podczas pracy z kamerą Wisenet AI, w zestawie dysk twardy Seagate SKyHawk o pojemności 6 TB (ST6000VX009)</v>
      </c>
      <c r="K365" s="43" t="s">
        <v>21</v>
      </c>
      <c r="L365" s="44">
        <v>1610.0</v>
      </c>
      <c r="M365" s="8"/>
      <c r="N365" s="45" t="s">
        <v>22</v>
      </c>
      <c r="O365" s="97"/>
      <c r="P365" s="36"/>
      <c r="Q365" s="35"/>
      <c r="R365" s="68"/>
      <c r="S365" s="68"/>
      <c r="T365" s="68"/>
      <c r="U365" s="35"/>
      <c r="V365" s="35"/>
      <c r="W365" s="35"/>
      <c r="X365" s="35"/>
      <c r="Y365" s="35"/>
      <c r="Z365" s="35"/>
      <c r="AA365" s="35"/>
      <c r="AB365" s="35"/>
      <c r="AC365" s="101"/>
      <c r="AD365" s="98"/>
      <c r="AE365" s="98"/>
      <c r="AF365" s="98"/>
      <c r="AG365" s="98"/>
      <c r="AH365" s="98"/>
      <c r="AI365" s="85"/>
      <c r="AJ365" s="85"/>
      <c r="AK365" s="85"/>
      <c r="AL365" s="85"/>
      <c r="AM365" s="85"/>
      <c r="AN365" s="85"/>
      <c r="AO365" s="85"/>
      <c r="AP365" s="85"/>
    </row>
    <row r="366" ht="75.0" customHeight="1">
      <c r="A366" s="29"/>
      <c r="B366" s="38" t="s">
        <v>1031</v>
      </c>
      <c r="C366" s="39" t="s">
        <v>1091</v>
      </c>
      <c r="D366" s="40" t="s">
        <v>1092</v>
      </c>
      <c r="E366" s="40" t="s">
        <v>168</v>
      </c>
      <c r="F366" s="40" t="s">
        <v>1083</v>
      </c>
      <c r="G366" s="39" t="s">
        <v>1035</v>
      </c>
      <c r="H366" s="41" t="s">
        <v>170</v>
      </c>
      <c r="I366" s="48" t="s">
        <v>1093</v>
      </c>
      <c r="J366" s="42" t="str">
        <f>IFERROR(__xludf.DUMMYFUNCTION("GOOGLETRANSLATE(I366,""en"",""pl"")"),"Rejestrator NVR serii X 8CH 12MP, potrójny kodek kompresji H.265/H.264/MJPEG, wyszukiwanie AI: atrybut obiektu (po zintegrowaniu z kamerą Wisenet AI), nagrywanie z kamery sieciowej 100 Mb/s, funkcja Plug &amp; Play dzięki 8 PoE (LAN, 10/100), 1 PoE (WAN, 1 Gb"&amp;"/s), ARB (automatyczne przywracanie kopii zapasowej) i tryb awaryjny (N+1), do 2 dysków twardych SATA (maks. 20 TB), podwójny lokalny monitor HDMI, SUNAPI, ONVIF, łatwa konfiguracja (P2P), dysk twardy nie jest dołączony")</f>
        <v>Rejestrator NVR serii X 8CH 12MP, potrójny kodek kompresji H.265/H.264/MJPEG, wyszukiwanie AI: atrybut obiektu (po zintegrowaniu z kamerą Wisenet AI), nagrywanie z kamery sieciowej 100 Mb/s, funkcja Plug &amp; Play dzięki 8 PoE (LAN, 10/100), 1 PoE (WAN, 1 Gb/s), ARB (automatyczne przywracanie kopii zapasowej) i tryb awaryjny (N+1), do 2 dysków twardych SATA (maks. 20 TB), podwójny lokalny monitor HDMI, SUNAPI, ONVIF, łatwa konfiguracja (P2P), dysk twardy nie jest dołączony</v>
      </c>
      <c r="K366" s="43" t="s">
        <v>21</v>
      </c>
      <c r="L366" s="44">
        <v>830.0</v>
      </c>
      <c r="M366" s="8"/>
      <c r="N366" s="45" t="s">
        <v>22</v>
      </c>
      <c r="O366" s="97"/>
      <c r="P366" s="35"/>
      <c r="Q366" s="35"/>
      <c r="R366" s="68"/>
      <c r="S366" s="68"/>
      <c r="T366" s="68"/>
      <c r="U366" s="35"/>
      <c r="V366" s="35"/>
      <c r="W366" s="35"/>
      <c r="X366" s="35"/>
      <c r="Y366" s="35"/>
      <c r="Z366" s="35"/>
      <c r="AA366" s="35"/>
      <c r="AB366" s="35"/>
      <c r="AC366" s="101"/>
      <c r="AD366" s="98"/>
      <c r="AE366" s="98"/>
      <c r="AF366" s="98"/>
      <c r="AG366" s="98"/>
      <c r="AH366" s="98"/>
      <c r="AI366" s="98"/>
      <c r="AJ366" s="98"/>
      <c r="AK366" s="98"/>
      <c r="AL366" s="98"/>
      <c r="AM366" s="98"/>
      <c r="AN366" s="98"/>
      <c r="AO366" s="98"/>
      <c r="AP366" s="98"/>
    </row>
    <row r="367" ht="75.0" customHeight="1">
      <c r="A367" s="29"/>
      <c r="B367" s="38" t="s">
        <v>1031</v>
      </c>
      <c r="C367" s="39" t="s">
        <v>1094</v>
      </c>
      <c r="D367" s="40" t="s">
        <v>1095</v>
      </c>
      <c r="E367" s="40" t="s">
        <v>168</v>
      </c>
      <c r="F367" s="40" t="s">
        <v>1083</v>
      </c>
      <c r="G367" s="39" t="s">
        <v>1035</v>
      </c>
      <c r="H367" s="41" t="s">
        <v>170</v>
      </c>
      <c r="I367" s="48" t="s">
        <v>1096</v>
      </c>
      <c r="J367" s="42" t="str">
        <f>IFERROR(__xludf.DUMMYFUNCTION("GOOGLETRANSLATE(I367,""en"",""pl"")"),"Rejestrator NVR serii X 8CH 12MP, potrójny kodek kompresji H.265/H.264/MJPEG, wyszukiwanie AI: atrybut obiektu (po zintegrowaniu z kamerą Wisenet AI), nagrywanie z kamery sieciowej 100 Mb/s, funkcja Plug &amp; play dzięki 8 PoE (LAN, 10/100), 1 PoE (WAN, 1 Gb"&amp;"/s), ARB (automatyczne odzyskiwanie kopii zapasowej) i tryb awaryjny (N+1), do 2 dysków twardych SATA (maks. 20 TB), podwójny monitor lokalny HDMI, SUNAPI, ONVIF, łatwa konfiguracja (P2P), w zestawie dysk twardy Seagate SKyHawk o pojemności 4 TB (ST4000VX"&amp;"016)")</f>
        <v>Rejestrator NVR serii X 8CH 12MP, potrójny kodek kompresji H.265/H.264/MJPEG, wyszukiwanie AI: atrybut obiektu (po zintegrowaniu z kamerą Wisenet AI), nagrywanie z kamery sieciowej 100 Mb/s, funkcja Plug &amp; play dzięki 8 PoE (LAN, 10/100), 1 PoE (WAN, 1 Gb/s), ARB (automatyczne odzyskiwanie kopii zapasowej) i tryb awaryjny (N+1), do 2 dysków twardych SATA (maks. 20 TB), podwójny monitor lokalny HDMI, SUNAPI, ONVIF, łatwa konfiguracja (P2P), w zestawie dysk twardy Seagate SKyHawk o pojemności 4 TB (ST4000VX016)</v>
      </c>
      <c r="K367" s="43" t="s">
        <v>21</v>
      </c>
      <c r="L367" s="44">
        <v>1091.0</v>
      </c>
      <c r="M367" s="8"/>
      <c r="N367" s="45" t="s">
        <v>22</v>
      </c>
      <c r="O367" s="97"/>
      <c r="P367" s="35"/>
      <c r="Q367" s="35"/>
      <c r="R367" s="68"/>
      <c r="S367" s="68"/>
      <c r="T367" s="68"/>
      <c r="U367" s="35"/>
      <c r="V367" s="35"/>
      <c r="W367" s="35"/>
      <c r="X367" s="35"/>
      <c r="Y367" s="35"/>
      <c r="Z367" s="35"/>
      <c r="AA367" s="35"/>
      <c r="AB367" s="35"/>
      <c r="AC367" s="60"/>
      <c r="AD367" s="85"/>
      <c r="AE367" s="85"/>
      <c r="AF367" s="85"/>
      <c r="AG367" s="85"/>
      <c r="AH367" s="85"/>
      <c r="AI367" s="98"/>
      <c r="AJ367" s="98"/>
      <c r="AK367" s="98"/>
      <c r="AL367" s="98"/>
      <c r="AM367" s="98"/>
      <c r="AN367" s="98"/>
      <c r="AO367" s="98"/>
      <c r="AP367" s="98"/>
    </row>
    <row r="368" ht="75.0" customHeight="1">
      <c r="A368" s="29"/>
      <c r="B368" s="38" t="s">
        <v>1031</v>
      </c>
      <c r="C368" s="39" t="s">
        <v>1097</v>
      </c>
      <c r="D368" s="40" t="s">
        <v>1098</v>
      </c>
      <c r="E368" s="40" t="s">
        <v>168</v>
      </c>
      <c r="F368" s="40" t="s">
        <v>1083</v>
      </c>
      <c r="G368" s="39" t="s">
        <v>1035</v>
      </c>
      <c r="H368" s="41" t="s">
        <v>170</v>
      </c>
      <c r="I368" s="48" t="s">
        <v>1099</v>
      </c>
      <c r="J368" s="42" t="str">
        <f>IFERROR(__xludf.DUMMYFUNCTION("GOOGLETRANSLATE(I368,""en"",""pl"")"),"Rejestrator NVR serii X 8CH 12MP, potrójny kodek kompresji H.265/H.264/MJPEG, wyszukiwanie AI: atrybut obiektu (po zintegrowaniu z kamerą Wisenet AI), nagrywanie z kamery sieciowej 100 Mb/s, funkcja Plug &amp; play dzięki 8 PoE (LAN, 10/100), 1 PoE (WAN, 1 Gb"&amp;"/s), ARB (automatyczne przywracanie kopii zapasowej) i tryb awaryjny (N+1), do 2 dysków twardych SATA (maks. 20 TB), podwójny monitor lokalny HDMI, SUNAPI, ONVIF, łatwa konfiguracja (P2P), w zestawie 2 dyski twarde Seagate SKyHawk o pojemności 4 TB (ST400"&amp;"0VX016)")</f>
        <v>Rejestrator NVR serii X 8CH 12MP, potrójny kodek kompresji H.265/H.264/MJPEG, wyszukiwanie AI: atrybut obiektu (po zintegrowaniu z kamerą Wisenet AI), nagrywanie z kamery sieciowej 100 Mb/s, funkcja Plug &amp; play dzięki 8 PoE (LAN, 10/100), 1 PoE (WAN, 1 Gb/s), ARB (automatyczne przywracanie kopii zapasowej) i tryb awaryjny (N+1), do 2 dysków twardych SATA (maks. 20 TB), podwójny monitor lokalny HDMI, SUNAPI, ONVIF, łatwa konfiguracja (P2P), w zestawie 2 dyski twarde Seagate SKyHawk o pojemności 4 TB (ST4000VX016)</v>
      </c>
      <c r="K368" s="43" t="s">
        <v>21</v>
      </c>
      <c r="L368" s="44">
        <v>1627.0</v>
      </c>
      <c r="M368" s="8"/>
      <c r="N368" s="45" t="s">
        <v>22</v>
      </c>
      <c r="O368" s="97"/>
      <c r="P368" s="35"/>
      <c r="Q368" s="35"/>
      <c r="R368" s="68"/>
      <c r="S368" s="68"/>
      <c r="T368" s="68"/>
      <c r="U368" s="35"/>
      <c r="V368" s="35"/>
      <c r="W368" s="35"/>
      <c r="X368" s="35"/>
      <c r="Y368" s="35"/>
      <c r="Z368" s="35"/>
      <c r="AA368" s="35"/>
      <c r="AB368" s="35"/>
      <c r="AC368" s="60"/>
      <c r="AD368" s="85"/>
      <c r="AE368" s="85"/>
      <c r="AF368" s="85"/>
      <c r="AG368" s="85"/>
      <c r="AH368" s="85"/>
      <c r="AI368" s="98"/>
      <c r="AJ368" s="98"/>
      <c r="AK368" s="98"/>
      <c r="AL368" s="98"/>
      <c r="AM368" s="98"/>
      <c r="AN368" s="98"/>
      <c r="AO368" s="98"/>
      <c r="AP368" s="98"/>
    </row>
    <row r="369" ht="75.0" customHeight="1">
      <c r="A369" s="29"/>
      <c r="B369" s="38" t="s">
        <v>1031</v>
      </c>
      <c r="C369" s="39" t="s">
        <v>1100</v>
      </c>
      <c r="D369" s="40" t="s">
        <v>1101</v>
      </c>
      <c r="E369" s="40" t="s">
        <v>168</v>
      </c>
      <c r="F369" s="40" t="s">
        <v>1034</v>
      </c>
      <c r="G369" s="39" t="s">
        <v>1035</v>
      </c>
      <c r="H369" s="41" t="s">
        <v>1102</v>
      </c>
      <c r="I369" s="48" t="s">
        <v>1103</v>
      </c>
      <c r="J369" s="42" t="str">
        <f>IFERROR(__xludf.DUMMYFUNCTION("GOOGLETRANSLATE(I369,""en"",""pl"")"),"Rejestrator NVR serii X 4CH 4K, 4 kanały @8MP każdy, potrójny kodek H.265/H.264/MJPEG z technologią WiseStream, funkcje wyszukiwania AI; nagrywanie z kamery sieciowej 50 Mb/s, technologia Plug &amp; Play za pomocą 4 portów PoE/PoE+, ARB (automatyczne odzyskiw"&amp;"anie kopii zapasowej), 1 stały wewnętrzny dysk twardy SATA (maks. 6 TB), HDMI, lokalny monitor VGA, SUNAPI, ONVIF, dysk twardy nie jest dołączony")</f>
        <v>Rejestrator NVR serii X 4CH 4K, 4 kanały @8MP każdy, potrójny kodek H.265/H.264/MJPEG z technologią WiseStream, funkcje wyszukiwania AI; nagrywanie z kamery sieciowej 50 Mb/s, technologia Plug &amp; Play za pomocą 4 portów PoE/PoE+, ARB (automatyczne odzyskiwanie kopii zapasowej), 1 stały wewnętrzny dysk twardy SATA (maks. 6 TB), HDMI, lokalny monitor VGA, SUNAPI, ONVIF, dysk twardy nie jest dołączony</v>
      </c>
      <c r="K369" s="43" t="s">
        <v>21</v>
      </c>
      <c r="L369" s="44">
        <v>590.0</v>
      </c>
      <c r="M369" s="8"/>
      <c r="N369" s="45" t="s">
        <v>22</v>
      </c>
      <c r="O369" s="97"/>
      <c r="P369" s="36"/>
      <c r="Q369" s="35"/>
      <c r="R369" s="68"/>
      <c r="S369" s="68"/>
      <c r="T369" s="68"/>
      <c r="U369" s="35"/>
      <c r="V369" s="35"/>
      <c r="W369" s="35"/>
      <c r="X369" s="35"/>
      <c r="Y369" s="35"/>
      <c r="Z369" s="35"/>
      <c r="AA369" s="35"/>
      <c r="AB369" s="35"/>
      <c r="AC369" s="60"/>
      <c r="AD369" s="85"/>
      <c r="AE369" s="85"/>
      <c r="AF369" s="85"/>
      <c r="AG369" s="85"/>
      <c r="AH369" s="85"/>
      <c r="AI369" s="85"/>
      <c r="AJ369" s="85"/>
      <c r="AK369" s="85"/>
      <c r="AL369" s="85"/>
      <c r="AM369" s="85"/>
      <c r="AN369" s="85"/>
      <c r="AO369" s="85"/>
      <c r="AP369" s="85"/>
    </row>
    <row r="370" ht="75.0" customHeight="1">
      <c r="A370" s="29"/>
      <c r="B370" s="38" t="s">
        <v>1031</v>
      </c>
      <c r="C370" s="39" t="s">
        <v>1104</v>
      </c>
      <c r="D370" s="40" t="s">
        <v>1105</v>
      </c>
      <c r="E370" s="40" t="s">
        <v>174</v>
      </c>
      <c r="F370" s="40" t="s">
        <v>1034</v>
      </c>
      <c r="G370" s="39" t="s">
        <v>1035</v>
      </c>
      <c r="H370" s="41" t="s">
        <v>1102</v>
      </c>
      <c r="I370" s="48" t="s">
        <v>1106</v>
      </c>
      <c r="J370" s="42" t="str">
        <f>IFERROR(__xludf.DUMMYFUNCTION("GOOGLETRANSLATE(I370,""en"",""pl"")"),"Rejestrator NVR serii Q 4CH 8MP, potrójny kodek H.265/H.264/MJPEG z technologią WiseStream, nagrywanie dwukanałowe, nagrywanie kamerą sieciową 40 ​​Mb/s, funkcja Plug &amp; Play przez 4 porty PoE, ARB (automatyczne odzyskiwanie kopii zapasowej), 1 stały wewnę"&amp;"trzny dysk twardy SATA (maks. 6 TB), lokalny monitor HDMI, obsługa SUNAPI, ONVIF, usługa P2P (połączenie za pomocą kodu QR), dysk twardy nie jest dołączony")</f>
        <v>Rejestrator NVR serii Q 4CH 8MP, potrójny kodek H.265/H.264/MJPEG z technologią WiseStream, nagrywanie dwukanałowe, nagrywanie kamerą sieciową 40 ​​Mb/s, funkcja Plug &amp; Play przez 4 porty PoE, ARB (automatyczne odzyskiwanie kopii zapasowej), 1 stały wewnętrzny dysk twardy SATA (maks. 6 TB), lokalny monitor HDMI, obsługa SUNAPI, ONVIF, usługa P2P (połączenie za pomocą kodu QR), dysk twardy nie jest dołączony</v>
      </c>
      <c r="K370" s="43" t="s">
        <v>189</v>
      </c>
      <c r="L370" s="44">
        <v>476.0</v>
      </c>
      <c r="M370" s="8"/>
      <c r="N370" s="45" t="s">
        <v>22</v>
      </c>
      <c r="O370" s="97"/>
      <c r="P370" s="35"/>
      <c r="Q370" s="35"/>
      <c r="R370" s="68"/>
      <c r="S370" s="68"/>
      <c r="T370" s="68"/>
      <c r="U370" s="35"/>
      <c r="V370" s="35"/>
      <c r="W370" s="35"/>
      <c r="X370" s="35"/>
      <c r="Y370" s="35"/>
      <c r="Z370" s="35"/>
      <c r="AA370" s="35"/>
      <c r="AB370" s="35"/>
      <c r="AC370" s="60"/>
      <c r="AD370" s="85"/>
      <c r="AE370" s="85"/>
      <c r="AF370" s="85"/>
      <c r="AG370" s="85"/>
      <c r="AH370" s="85"/>
      <c r="AI370" s="98"/>
      <c r="AJ370" s="98"/>
      <c r="AK370" s="98"/>
      <c r="AL370" s="98"/>
      <c r="AM370" s="98"/>
      <c r="AN370" s="98"/>
      <c r="AO370" s="98"/>
      <c r="AP370" s="98"/>
    </row>
    <row r="371" ht="75.0" customHeight="1">
      <c r="A371" s="29"/>
      <c r="B371" s="38" t="s">
        <v>1031</v>
      </c>
      <c r="C371" s="39" t="s">
        <v>1107</v>
      </c>
      <c r="D371" s="40" t="s">
        <v>1108</v>
      </c>
      <c r="E371" s="40" t="s">
        <v>174</v>
      </c>
      <c r="F371" s="40" t="s">
        <v>1034</v>
      </c>
      <c r="G371" s="39" t="s">
        <v>1035</v>
      </c>
      <c r="H371" s="41" t="s">
        <v>1102</v>
      </c>
      <c r="I371" s="48" t="s">
        <v>1109</v>
      </c>
      <c r="J371" s="42" t="str">
        <f>IFERROR(__xludf.DUMMYFUNCTION("GOOGLETRANSLATE(I371,""en"",""pl"")"),"Rejestrator NVR z serii Q 4CH 8MP, potrójny kodek H.265/H.264/MJPEG z technologią WiseStream, nagrywanie z dwóch ścieżek, nagrywanie kamerą sieciową 40 ​​Mb/s, funkcja Plug &amp; Play przez 4 porty PoE, ARB (automatyczne odzyskiwanie kopii zapasowej), 1 stały"&amp;" wewnętrzny dysk twardy SATA (maks. 6 TB), lokalny monitor HDMI, obsługa SUNAPI, ONVIF, usługa P2P (połączenie za pomocą kodu QR), dołączony dysk twardy Seagate SKyHawk o pojemności 4 TB (ST4000VX016)")</f>
        <v>Rejestrator NVR z serii Q 4CH 8MP, potrójny kodek H.265/H.264/MJPEG z technologią WiseStream, nagrywanie z dwóch ścieżek, nagrywanie kamerą sieciową 40 ​​Mb/s, funkcja Plug &amp; Play przez 4 porty PoE, ARB (automatyczne odzyskiwanie kopii zapasowej), 1 stały wewnętrzny dysk twardy SATA (maks. 6 TB), lokalny monitor HDMI, obsługa SUNAPI, ONVIF, usługa P2P (połączenie za pomocą kodu QR), dołączony dysk twardy Seagate SKyHawk o pojemności 4 TB (ST4000VX016)</v>
      </c>
      <c r="K371" s="43" t="s">
        <v>189</v>
      </c>
      <c r="L371" s="44">
        <v>681.0</v>
      </c>
      <c r="M371" s="8"/>
      <c r="N371" s="45" t="s">
        <v>22</v>
      </c>
      <c r="O371" s="97"/>
      <c r="P371" s="35"/>
      <c r="Q371" s="35"/>
      <c r="R371" s="68"/>
      <c r="S371" s="68"/>
      <c r="T371" s="68"/>
      <c r="U371" s="35"/>
      <c r="V371" s="35"/>
      <c r="W371" s="35"/>
      <c r="X371" s="35"/>
      <c r="Y371" s="35"/>
      <c r="Z371" s="35"/>
      <c r="AA371" s="35"/>
      <c r="AB371" s="35"/>
      <c r="AC371" s="60"/>
      <c r="AD371" s="85"/>
      <c r="AE371" s="85"/>
      <c r="AF371" s="85"/>
      <c r="AG371" s="85"/>
      <c r="AH371" s="85"/>
      <c r="AI371" s="98"/>
      <c r="AJ371" s="98"/>
      <c r="AK371" s="98"/>
      <c r="AL371" s="98"/>
      <c r="AM371" s="98"/>
      <c r="AN371" s="98"/>
      <c r="AO371" s="98"/>
      <c r="AP371" s="98"/>
    </row>
    <row r="372" ht="75.0" customHeight="1">
      <c r="A372" s="29"/>
      <c r="B372" s="38" t="s">
        <v>1031</v>
      </c>
      <c r="C372" s="39" t="s">
        <v>1110</v>
      </c>
      <c r="D372" s="40" t="s">
        <v>1111</v>
      </c>
      <c r="E372" s="40" t="s">
        <v>174</v>
      </c>
      <c r="F372" s="40" t="s">
        <v>1083</v>
      </c>
      <c r="G372" s="39" t="s">
        <v>1035</v>
      </c>
      <c r="H372" s="41" t="s">
        <v>1102</v>
      </c>
      <c r="I372" s="48" t="s">
        <v>1112</v>
      </c>
      <c r="J372" s="42" t="str">
        <f>IFERROR(__xludf.DUMMYFUNCTION("GOOGLETRANSLATE(I372,""en"",""pl"")"),"Rejestrator NVR z serii Q 8 kanałów 8 MP, 8 kanałów po 8 MP każdy, potrójny kodek H.265/H.264/MJPEG z technologią WiseStream, nagrywanie dwutorowe, nagrywanie kamerą sieciową 80 Mb/s, funkcja Plug &amp; Play przez 8 portów PoE, ARB (automatyczne przywracanie "&amp;"kopii zapasowej), 1 stały wewnętrzny dysk twardy SATA (maks. 6 TB), lokalny monitor HDMI, SUNAPI, ONVIF, łatwa konfiguracja (kreator konfiguracji, P2P), dysk twardy nie jest dołączony")</f>
        <v>Rejestrator NVR z serii Q 8 kanałów 8 MP, 8 kanałów po 8 MP każdy, potrójny kodek H.265/H.264/MJPEG z technologią WiseStream, nagrywanie dwutorowe, nagrywanie kamerą sieciową 80 Mb/s, funkcja Plug &amp; Play przez 8 portów PoE, ARB (automatyczne przywracanie kopii zapasowej), 1 stały wewnętrzny dysk twardy SATA (maks. 6 TB), lokalny monitor HDMI, SUNAPI, ONVIF, łatwa konfiguracja (kreator konfiguracji, P2P), dysk twardy nie jest dołączony</v>
      </c>
      <c r="K372" s="43" t="s">
        <v>21</v>
      </c>
      <c r="L372" s="44">
        <v>700.0</v>
      </c>
      <c r="M372" s="8"/>
      <c r="N372" s="45" t="s">
        <v>22</v>
      </c>
      <c r="O372" s="97"/>
      <c r="P372" s="36"/>
      <c r="Q372" s="35"/>
      <c r="R372" s="68"/>
      <c r="S372" s="68"/>
      <c r="T372" s="68"/>
      <c r="U372" s="35"/>
      <c r="V372" s="35"/>
      <c r="W372" s="35"/>
      <c r="X372" s="35"/>
      <c r="Y372" s="35"/>
      <c r="Z372" s="35"/>
      <c r="AA372" s="35"/>
      <c r="AB372" s="35"/>
      <c r="AC372" s="101"/>
      <c r="AD372" s="98"/>
      <c r="AE372" s="98"/>
      <c r="AF372" s="98"/>
      <c r="AG372" s="98"/>
      <c r="AH372" s="98"/>
      <c r="AI372" s="85"/>
      <c r="AJ372" s="85"/>
      <c r="AK372" s="85"/>
      <c r="AL372" s="85"/>
      <c r="AM372" s="85"/>
      <c r="AN372" s="85"/>
      <c r="AO372" s="85"/>
      <c r="AP372" s="85"/>
    </row>
    <row r="373" ht="75.0" customHeight="1">
      <c r="A373" s="29"/>
      <c r="B373" s="38" t="s">
        <v>1031</v>
      </c>
      <c r="C373" s="39" t="s">
        <v>1113</v>
      </c>
      <c r="D373" s="40" t="s">
        <v>1114</v>
      </c>
      <c r="E373" s="40" t="s">
        <v>174</v>
      </c>
      <c r="F373" s="40" t="s">
        <v>1083</v>
      </c>
      <c r="G373" s="39" t="s">
        <v>1035</v>
      </c>
      <c r="H373" s="41" t="s">
        <v>1102</v>
      </c>
      <c r="I373" s="48" t="s">
        <v>1115</v>
      </c>
      <c r="J373" s="42" t="str">
        <f>IFERROR(__xludf.DUMMYFUNCTION("GOOGLETRANSLATE(I373,""en"",""pl"")"),"Rejestrator NVR z serii Q 8 kanałów 8 MP, 8 kanałów po 8 MP każdy, potrójny kodek H.265/H.264/MJPEG z technologią WiseStream, nagrywanie dwutorowe, nagrywanie kamerą sieciową 80 Mb/s, technologia Plug &amp; Play przez 8 portów PoE, ARB (automatyczne przywraca"&amp;"nie kopii zapasowej), 1 stały wewnętrzny dysk twardy SATA (maks. 6 TB), lokalny monitor HDMI, SUNAPI, ONVIF, łatwa konfiguracja (kreator konfiguracji, P2P), w zestawie dysk twardy Seagate SKyHawk o pojemności 4 TB (ST4000VX016)")</f>
        <v>Rejestrator NVR z serii Q 8 kanałów 8 MP, 8 kanałów po 8 MP każdy, potrójny kodek H.265/H.264/MJPEG z technologią WiseStream, nagrywanie dwutorowe, nagrywanie kamerą sieciową 80 Mb/s, technologia Plug &amp; Play przez 8 portów PoE, ARB (automatyczne przywracanie kopii zapasowej), 1 stały wewnętrzny dysk twardy SATA (maks. 6 TB), lokalny monitor HDMI, SUNAPI, ONVIF, łatwa konfiguracja (kreator konfiguracji, P2P), w zestawie dysk twardy Seagate SKyHawk o pojemności 4 TB (ST4000VX016)</v>
      </c>
      <c r="K373" s="43" t="s">
        <v>21</v>
      </c>
      <c r="L373" s="44">
        <v>925.0</v>
      </c>
      <c r="M373" s="8"/>
      <c r="N373" s="45" t="s">
        <v>22</v>
      </c>
      <c r="O373" s="97"/>
      <c r="P373" s="36"/>
      <c r="Q373" s="35"/>
      <c r="R373" s="68"/>
      <c r="S373" s="68"/>
      <c r="T373" s="68"/>
      <c r="U373" s="35"/>
      <c r="V373" s="35"/>
      <c r="W373" s="35"/>
      <c r="X373" s="35"/>
      <c r="Y373" s="35"/>
      <c r="Z373" s="35"/>
      <c r="AA373" s="35"/>
      <c r="AB373" s="35"/>
      <c r="AC373" s="101"/>
      <c r="AD373" s="98"/>
      <c r="AE373" s="98"/>
      <c r="AF373" s="98"/>
      <c r="AG373" s="98"/>
      <c r="AH373" s="98"/>
      <c r="AI373" s="85"/>
      <c r="AJ373" s="85"/>
      <c r="AK373" s="85"/>
      <c r="AL373" s="85"/>
      <c r="AM373" s="85"/>
      <c r="AN373" s="85"/>
      <c r="AO373" s="85"/>
      <c r="AP373" s="85"/>
    </row>
    <row r="374" ht="75.0" customHeight="1">
      <c r="A374" s="29"/>
      <c r="B374" s="38" t="s">
        <v>1031</v>
      </c>
      <c r="C374" s="39" t="s">
        <v>1116</v>
      </c>
      <c r="D374" s="40" t="s">
        <v>1117</v>
      </c>
      <c r="E374" s="40" t="s">
        <v>174</v>
      </c>
      <c r="F374" s="40" t="s">
        <v>1051</v>
      </c>
      <c r="G374" s="39" t="s">
        <v>1035</v>
      </c>
      <c r="H374" s="41" t="s">
        <v>1102</v>
      </c>
      <c r="I374" s="48" t="s">
        <v>1118</v>
      </c>
      <c r="J374" s="42" t="str">
        <f>IFERROR(__xludf.DUMMYFUNCTION("GOOGLETRANSLATE(I374,""en"",""pl"")"),"Rejestrator NVR serii Q 16 kanałów 8 MP, potrójny kodek H.265/H.264/MJPEG z technologią WiseStream, nagrywanie z dwóch ścieżek, nagrywanie z kamery sieciowej 128 Mb/s, funkcja Plug &amp; Play dzięki 16 PoE (LAN, 10/100), 1 PoE (WAN, 1 Gb/s), ARB (automatyczne"&amp;" przywracanie kopii zapasowej), 2 stałe wewnętrzne dyski twarde SATA (maks. 20 TB), lokalny monitor HDMI, obsługa SUNAPI, ONVIF, usługa P2P (połączenie za pomocą kodu QR), dysk twardy nie jest dołączony")</f>
        <v>Rejestrator NVR serii Q 16 kanałów 8 MP, potrójny kodek H.265/H.264/MJPEG z technologią WiseStream, nagrywanie z dwóch ścieżek, nagrywanie z kamery sieciowej 128 Mb/s, funkcja Plug &amp; Play dzięki 16 PoE (LAN, 10/100), 1 PoE (WAN, 1 Gb/s), ARB (automatyczne przywracanie kopii zapasowej), 2 stałe wewnętrzne dyski twarde SATA (maks. 20 TB), lokalny monitor HDMI, obsługa SUNAPI, ONVIF, usługa P2P (połączenie za pomocą kodu QR), dysk twardy nie jest dołączony</v>
      </c>
      <c r="K374" s="43" t="s">
        <v>189</v>
      </c>
      <c r="L374" s="44">
        <v>1058.0</v>
      </c>
      <c r="M374" s="8"/>
      <c r="N374" s="45" t="s">
        <v>22</v>
      </c>
      <c r="O374" s="97"/>
      <c r="P374" s="35"/>
      <c r="Q374" s="35"/>
      <c r="R374" s="68"/>
      <c r="S374" s="68"/>
      <c r="T374" s="68"/>
      <c r="U374" s="35"/>
      <c r="V374" s="35"/>
      <c r="W374" s="35"/>
      <c r="X374" s="35"/>
      <c r="Y374" s="35"/>
      <c r="Z374" s="35"/>
      <c r="AA374" s="35"/>
      <c r="AB374" s="35"/>
      <c r="AC374" s="60"/>
      <c r="AD374" s="85"/>
      <c r="AE374" s="85"/>
      <c r="AF374" s="85"/>
      <c r="AG374" s="85"/>
      <c r="AH374" s="85"/>
      <c r="AI374" s="98"/>
      <c r="AJ374" s="98"/>
      <c r="AK374" s="98"/>
      <c r="AL374" s="98"/>
      <c r="AM374" s="98"/>
      <c r="AN374" s="98"/>
      <c r="AO374" s="98"/>
      <c r="AP374" s="98"/>
    </row>
    <row r="375" ht="75.0" customHeight="1">
      <c r="A375" s="29"/>
      <c r="B375" s="38" t="s">
        <v>1031</v>
      </c>
      <c r="C375" s="39" t="s">
        <v>1119</v>
      </c>
      <c r="D375" s="40" t="s">
        <v>1120</v>
      </c>
      <c r="E375" s="40" t="s">
        <v>174</v>
      </c>
      <c r="F375" s="40" t="s">
        <v>1051</v>
      </c>
      <c r="G375" s="39" t="s">
        <v>1035</v>
      </c>
      <c r="H375" s="41" t="s">
        <v>1102</v>
      </c>
      <c r="I375" s="48" t="s">
        <v>1121</v>
      </c>
      <c r="J375" s="42" t="str">
        <f>IFERROR(__xludf.DUMMYFUNCTION("GOOGLETRANSLATE(I375,""en"",""pl"")"),"Rejestrator NVR serii Q 16 kanałów 8 MP, potrójny kodek H.265/H.264/MJPEG z technologią WiseStream, nagrywanie z dwóch ścieżek, nagrywanie z kamery sieciowej 128 Mb/s, funkcja Plug &amp; play dzięki 16 PoE (LAN, 10/100), 1 PoE (WAN, 1 Gb/s), ARB (automatyczne"&amp;" odzyskiwanie kopii zapasowej), 2 stałe wewnętrzne dyski twarde SATA (maks. 20 TB), lokalny monitor HDMI, obsługa SUNAPI, ONVIF, usługi P2P (połączenie za pomocą kodu QR), dołączony dysk twardy Seagate SKyHawk o pojemności 4 TB (ST4000VX016)")</f>
        <v>Rejestrator NVR serii Q 16 kanałów 8 MP, potrójny kodek H.265/H.264/MJPEG z technologią WiseStream, nagrywanie z dwóch ścieżek, nagrywanie z kamery sieciowej 128 Mb/s, funkcja Plug &amp; play dzięki 16 PoE (LAN, 10/100), 1 PoE (WAN, 1 Gb/s), ARB (automatyczne odzyskiwanie kopii zapasowej), 2 stałe wewnętrzne dyski twarde SATA (maks. 20 TB), lokalny monitor HDMI, obsługa SUNAPI, ONVIF, usługi P2P (połączenie za pomocą kodu QR), dołączony dysk twardy Seagate SKyHawk o pojemności 4 TB (ST4000VX016)</v>
      </c>
      <c r="K375" s="43" t="s">
        <v>189</v>
      </c>
      <c r="L375" s="44">
        <v>1310.0</v>
      </c>
      <c r="M375" s="8"/>
      <c r="N375" s="45" t="s">
        <v>22</v>
      </c>
      <c r="O375" s="97"/>
      <c r="P375" s="35"/>
      <c r="Q375" s="35"/>
      <c r="R375" s="68"/>
      <c r="S375" s="68"/>
      <c r="T375" s="68"/>
      <c r="U375" s="35"/>
      <c r="V375" s="35"/>
      <c r="W375" s="35"/>
      <c r="X375" s="35"/>
      <c r="Y375" s="35"/>
      <c r="Z375" s="35"/>
      <c r="AA375" s="35"/>
      <c r="AB375" s="35"/>
      <c r="AC375" s="60"/>
      <c r="AD375" s="85"/>
      <c r="AE375" s="85"/>
      <c r="AF375" s="85"/>
      <c r="AG375" s="85"/>
      <c r="AH375" s="85"/>
      <c r="AI375" s="98"/>
      <c r="AJ375" s="98"/>
      <c r="AK375" s="98"/>
      <c r="AL375" s="98"/>
      <c r="AM375" s="98"/>
      <c r="AN375" s="98"/>
      <c r="AO375" s="98"/>
      <c r="AP375" s="98"/>
    </row>
    <row r="376" ht="75.0" customHeight="1">
      <c r="A376" s="29"/>
      <c r="B376" s="38" t="s">
        <v>1031</v>
      </c>
      <c r="C376" s="39" t="s">
        <v>1122</v>
      </c>
      <c r="D376" s="40" t="s">
        <v>1105</v>
      </c>
      <c r="E376" s="40" t="s">
        <v>1123</v>
      </c>
      <c r="F376" s="40" t="s">
        <v>1034</v>
      </c>
      <c r="G376" s="39" t="s">
        <v>1035</v>
      </c>
      <c r="H376" s="41" t="s">
        <v>1102</v>
      </c>
      <c r="I376" s="48" t="s">
        <v>1124</v>
      </c>
      <c r="J376" s="42" t="str">
        <f>IFERROR(__xludf.DUMMYFUNCTION("GOOGLETRANSLATE(I376,""en"",""pl"")"),"Rejestrator NVR z serii A 4CH PoE, wbudowany system Linux, kodek H.265, H.264, MJPEG, Plug &amp; Play przez 4 porty PoE (LAN, 10/100), 1 RJ-45 (WAN, 10/100), przepustowość nagrywania 40 Mb/s, obsługa dysków twardych (maksymalnie 1 x 6 TB), monitor lokalny HDM"&amp;"I, obsługa ARB, obsługa usług P2P. Dysk twardy nie jest dołączony.")</f>
        <v>Rejestrator NVR z serii A 4CH PoE, wbudowany system Linux, kodek H.265, H.264, MJPEG, Plug &amp; Play przez 4 porty PoE (LAN, 10/100), 1 RJ-45 (WAN, 10/100), przepustowość nagrywania 40 Mb/s, obsługa dysków twardych (maksymalnie 1 x 6 TB), monitor lokalny HDMI, obsługa ARB, obsługa usług P2P. Dysk twardy nie jest dołączony.</v>
      </c>
      <c r="K376" s="43" t="s">
        <v>21</v>
      </c>
      <c r="L376" s="44">
        <v>350.0</v>
      </c>
      <c r="M376" s="8"/>
      <c r="N376" s="45" t="s">
        <v>22</v>
      </c>
      <c r="O376" s="97"/>
      <c r="P376" s="35"/>
      <c r="Q376" s="35"/>
      <c r="R376" s="68"/>
      <c r="S376" s="68"/>
      <c r="T376" s="68"/>
      <c r="U376" s="35"/>
      <c r="V376" s="35"/>
      <c r="W376" s="35"/>
      <c r="X376" s="35"/>
      <c r="Y376" s="35"/>
      <c r="Z376" s="35"/>
      <c r="AA376" s="35"/>
      <c r="AB376" s="35"/>
      <c r="AC376" s="60"/>
      <c r="AD376" s="85"/>
      <c r="AE376" s="85"/>
      <c r="AF376" s="85"/>
      <c r="AG376" s="85"/>
      <c r="AH376" s="85"/>
      <c r="AI376" s="98"/>
      <c r="AJ376" s="98"/>
      <c r="AK376" s="98"/>
      <c r="AL376" s="98"/>
      <c r="AM376" s="98"/>
      <c r="AN376" s="98"/>
      <c r="AO376" s="98"/>
      <c r="AP376" s="98"/>
    </row>
    <row r="377" ht="75.0" customHeight="1">
      <c r="A377" s="29"/>
      <c r="B377" s="38" t="s">
        <v>1031</v>
      </c>
      <c r="C377" s="39" t="s">
        <v>1125</v>
      </c>
      <c r="D377" s="40" t="s">
        <v>1111</v>
      </c>
      <c r="E377" s="40" t="s">
        <v>1123</v>
      </c>
      <c r="F377" s="40" t="s">
        <v>1083</v>
      </c>
      <c r="G377" s="39" t="s">
        <v>1035</v>
      </c>
      <c r="H377" s="41" t="s">
        <v>1102</v>
      </c>
      <c r="I377" s="48" t="s">
        <v>1126</v>
      </c>
      <c r="J377" s="42" t="str">
        <f>IFERROR(__xludf.DUMMYFUNCTION("GOOGLETRANSLATE(I377,""en"",""pl"")"),"Rejestrator NVR z serii A 8 kanałów PoE, wbudowany system Linux, kodek H.265, H.264, MJPEG, funkcja Plug &amp; play przez 8 portów PoE (LAN, 10/100), 1 port RJ-45 (WAN, 10/100), przepustowość nagrywania 60 Mb/s, obsługiwane dyski twarde (maksymalnie 1 x 6 TB)"&amp;", monitor lokalny HDMI, obsługa ARB, obsługa usługi P2P. Dysk twardy nie jest dołączony.")</f>
        <v>Rejestrator NVR z serii A 8 kanałów PoE, wbudowany system Linux, kodek H.265, H.264, MJPEG, funkcja Plug &amp; play przez 8 portów PoE (LAN, 10/100), 1 port RJ-45 (WAN, 10/100), przepustowość nagrywania 60 Mb/s, obsługiwane dyski twarde (maksymalnie 1 x 6 TB), monitor lokalny HDMI, obsługa ARB, obsługa usługi P2P. Dysk twardy nie jest dołączony.</v>
      </c>
      <c r="K377" s="43" t="s">
        <v>21</v>
      </c>
      <c r="L377" s="44">
        <v>430.0</v>
      </c>
      <c r="M377" s="8"/>
      <c r="N377" s="45" t="s">
        <v>22</v>
      </c>
      <c r="O377" s="97"/>
      <c r="P377" s="35"/>
      <c r="Q377" s="35"/>
      <c r="R377" s="68"/>
      <c r="S377" s="68"/>
      <c r="T377" s="68"/>
      <c r="U377" s="35"/>
      <c r="V377" s="35"/>
      <c r="W377" s="35"/>
      <c r="X377" s="35"/>
      <c r="Y377" s="35"/>
      <c r="Z377" s="35"/>
      <c r="AA377" s="35"/>
      <c r="AB377" s="35"/>
      <c r="AC377" s="60"/>
      <c r="AD377" s="85"/>
      <c r="AE377" s="85"/>
      <c r="AF377" s="85"/>
      <c r="AG377" s="85"/>
      <c r="AH377" s="85"/>
      <c r="AI377" s="98"/>
      <c r="AJ377" s="98"/>
      <c r="AK377" s="98"/>
      <c r="AL377" s="98"/>
      <c r="AM377" s="98"/>
      <c r="AN377" s="98"/>
      <c r="AO377" s="98"/>
      <c r="AP377" s="98"/>
    </row>
    <row r="378" ht="75.0" customHeight="1">
      <c r="A378" s="29"/>
      <c r="B378" s="38" t="s">
        <v>1031</v>
      </c>
      <c r="C378" s="39" t="s">
        <v>1127</v>
      </c>
      <c r="D378" s="40" t="s">
        <v>1128</v>
      </c>
      <c r="E378" s="40" t="s">
        <v>1123</v>
      </c>
      <c r="F378" s="40" t="s">
        <v>1051</v>
      </c>
      <c r="G378" s="39" t="s">
        <v>1035</v>
      </c>
      <c r="H378" s="41" t="s">
        <v>1102</v>
      </c>
      <c r="I378" s="48" t="s">
        <v>1129</v>
      </c>
      <c r="J378" s="42" t="str">
        <f>IFERROR(__xludf.DUMMYFUNCTION("GOOGLETRANSLATE(I378,""en"",""pl"")"),"Rejestrator NVR z serii A, 16 kanałów PoE, wbudowany system Linux, kodek H.265, H.264, MJPEG, Plug &amp; Play przez 16 portów PoE (LAN, 10/100), 1 RJ-45 (WAN, 1 Gb/s), 1 RJ-45 (WAN, 10/100), przepustowość nagrywania 80 Mb/s, obsługa dysków twardych (maksymaln"&amp;"ie 2 x 6 TB), monitor lokalny HDMI/VGA, nagrywanie z kamery sieciowej 80 Mb/s z obsługą ARB, obsługa usługi P2P. Dysk twardy nie jest dołączony.")</f>
        <v>Rejestrator NVR z serii A, 16 kanałów PoE, wbudowany system Linux, kodek H.265, H.264, MJPEG, Plug &amp; Play przez 16 portów PoE (LAN, 10/100), 1 RJ-45 (WAN, 1 Gb/s), 1 RJ-45 (WAN, 10/100), przepustowość nagrywania 80 Mb/s, obsługa dysków twardych (maksymalnie 2 x 6 TB), monitor lokalny HDMI/VGA, nagrywanie z kamery sieciowej 80 Mb/s z obsługą ARB, obsługa usługi P2P. Dysk twardy nie jest dołączony.</v>
      </c>
      <c r="K378" s="43" t="s">
        <v>21</v>
      </c>
      <c r="L378" s="44">
        <v>600.0</v>
      </c>
      <c r="M378" s="8"/>
      <c r="N378" s="45" t="s">
        <v>22</v>
      </c>
      <c r="O378" s="97"/>
      <c r="P378" s="35"/>
      <c r="Q378" s="35"/>
      <c r="R378" s="68"/>
      <c r="S378" s="68"/>
      <c r="T378" s="68"/>
      <c r="U378" s="35"/>
      <c r="V378" s="35"/>
      <c r="W378" s="35"/>
      <c r="X378" s="35"/>
      <c r="Y378" s="35"/>
      <c r="Z378" s="35"/>
      <c r="AA378" s="35"/>
      <c r="AB378" s="35"/>
      <c r="AC378" s="60"/>
      <c r="AD378" s="85"/>
      <c r="AE378" s="85"/>
      <c r="AF378" s="85"/>
      <c r="AG378" s="85"/>
      <c r="AH378" s="85"/>
      <c r="AI378" s="98"/>
      <c r="AJ378" s="98"/>
      <c r="AK378" s="98"/>
      <c r="AL378" s="98"/>
      <c r="AM378" s="98"/>
      <c r="AN378" s="98"/>
      <c r="AO378" s="98"/>
      <c r="AP378" s="98"/>
    </row>
    <row r="379" ht="30.0" customHeight="1">
      <c r="A379" s="29"/>
      <c r="B379" s="93" t="s">
        <v>1130</v>
      </c>
      <c r="C379" s="113"/>
      <c r="D379" s="113"/>
      <c r="E379" s="113"/>
      <c r="F379" s="113"/>
      <c r="G379" s="113"/>
      <c r="H379" s="113"/>
      <c r="I379" s="113"/>
      <c r="J379" s="42" t="str">
        <f>IFERROR(__xludf.DUMMYFUNCTION("GOOGLETRANSLATE(I379,""en"",""pl"")"),"#VALUE!")</f>
        <v>#VALUE!</v>
      </c>
      <c r="K379" s="113"/>
      <c r="L379" s="114"/>
      <c r="M379" s="115"/>
      <c r="N379" s="96"/>
      <c r="O379" s="83"/>
      <c r="P379" s="36"/>
      <c r="Q379" s="35"/>
      <c r="R379" s="68"/>
      <c r="S379" s="68"/>
      <c r="T379" s="68"/>
      <c r="U379" s="35"/>
      <c r="V379" s="35"/>
      <c r="W379" s="35"/>
      <c r="X379" s="35"/>
      <c r="Y379" s="35"/>
      <c r="Z379" s="35"/>
      <c r="AA379" s="35"/>
      <c r="AB379" s="35"/>
      <c r="AC379" s="60"/>
      <c r="AD379" s="85"/>
      <c r="AE379" s="85"/>
      <c r="AF379" s="85"/>
      <c r="AG379" s="85"/>
      <c r="AH379" s="85"/>
      <c r="AI379" s="85"/>
      <c r="AJ379" s="85"/>
      <c r="AK379" s="85"/>
      <c r="AL379" s="85"/>
      <c r="AM379" s="85"/>
      <c r="AN379" s="85"/>
      <c r="AO379" s="85"/>
      <c r="AP379" s="85"/>
    </row>
    <row r="380" ht="60.0" customHeight="1">
      <c r="A380" s="29"/>
      <c r="B380" s="38" t="s">
        <v>1131</v>
      </c>
      <c r="C380" s="39" t="s">
        <v>1132</v>
      </c>
      <c r="D380" s="40" t="s">
        <v>1133</v>
      </c>
      <c r="E380" s="40"/>
      <c r="F380" s="40" t="s">
        <v>1034</v>
      </c>
      <c r="G380" s="39" t="s">
        <v>1134</v>
      </c>
      <c r="H380" s="41" t="s">
        <v>170</v>
      </c>
      <c r="I380" s="48" t="s">
        <v>1135</v>
      </c>
      <c r="J380" s="42" t="str">
        <f>IFERROR(__xludf.DUMMYFUNCTION("GOOGLETRANSLATE(I380,""en"",""pl"")"),"4-kanałowy sieciowy koder wideo, H.265/H.264/MJPEG, 12 kl./s przy 5 MP, 15 kl./s przy 4 MP, 30 kl./s przy 2 MP lub mniej, podwójne strumieniowanie, zgodność z AHD/CVI/TVI/CVBS (Pelco-C), interfejs RS-485 (SAMSUNG-T, PELCO-P/D), obsługa protokołu ONVIF, wy"&amp;"jście HDMI, wejścia/wyjścia alarmowe 4/2, dźwięk dwukierunkowy, PoE/12 V DC")</f>
        <v>4-kanałowy sieciowy koder wideo, H.265/H.264/MJPEG, 12 kl./s przy 5 MP, 15 kl./s przy 4 MP, 30 kl./s przy 2 MP lub mniej, podwójne strumieniowanie, zgodność z AHD/CVI/TVI/CVBS (Pelco-C), interfejs RS-485 (SAMSUNG-T, PELCO-P/D), obsługa protokołu ONVIF, wyjście HDMI, wejścia/wyjścia alarmowe 4/2, dźwięk dwukierunkowy, PoE/12 V DC</v>
      </c>
      <c r="K380" s="43" t="s">
        <v>21</v>
      </c>
      <c r="L380" s="44">
        <v>494.0</v>
      </c>
      <c r="M380" s="8"/>
      <c r="N380" s="45" t="s">
        <v>22</v>
      </c>
      <c r="O380" s="97"/>
      <c r="P380" s="36"/>
      <c r="Q380" s="35"/>
      <c r="R380" s="68"/>
      <c r="S380" s="68"/>
      <c r="T380" s="68"/>
      <c r="U380" s="35"/>
      <c r="V380" s="35"/>
      <c r="W380" s="35"/>
      <c r="X380" s="35"/>
      <c r="Y380" s="35"/>
      <c r="Z380" s="35"/>
      <c r="AA380" s="35"/>
      <c r="AB380" s="35"/>
      <c r="AC380" s="60"/>
      <c r="AD380" s="85"/>
      <c r="AE380" s="85"/>
      <c r="AF380" s="85"/>
      <c r="AG380" s="85"/>
      <c r="AH380" s="85"/>
      <c r="AI380" s="85"/>
      <c r="AJ380" s="85"/>
      <c r="AK380" s="85"/>
      <c r="AL380" s="85"/>
      <c r="AM380" s="85"/>
      <c r="AN380" s="85"/>
      <c r="AO380" s="85"/>
      <c r="AP380" s="85"/>
    </row>
    <row r="381" ht="83.25" customHeight="1">
      <c r="A381" s="29"/>
      <c r="B381" s="116" t="s">
        <v>1131</v>
      </c>
      <c r="C381" s="117" t="s">
        <v>1136</v>
      </c>
      <c r="D381" s="118" t="s">
        <v>1137</v>
      </c>
      <c r="E381" s="118"/>
      <c r="F381" s="118" t="s">
        <v>1051</v>
      </c>
      <c r="G381" s="117" t="s">
        <v>1134</v>
      </c>
      <c r="H381" s="126" t="s">
        <v>170</v>
      </c>
      <c r="I381" s="121" t="s">
        <v>1138</v>
      </c>
      <c r="J381" s="42" t="str">
        <f>IFERROR(__xludf.DUMMYFUNCTION("GOOGLETRANSLATE(I381,""en"",""pl"")"),"16-kanałowy sieciowy koder wideo, maksymalna rozdzielczość 5 MP, maksymalna liczba klatek na sekundę 12 kl./s przy 5 MP, 15 kl./s przy 4 MP, 30 kl./s przy 1080p, obsługa kodeków H.265/H.264/MJPEG, strumieniowanie wielokrotne (do 3 profili na kanał), CVBS "&amp;"(Pelco-C)/AHD/TVI/CVI, 1 RJ-45 10/100/1000 Base-T, 16 wejść alarmowych/ 4 wyjścia, wyzwalacze alarmowe — wykrywanie ruchu, wejście alarmowe, utrata wideo, manipulacja, rozłączenie sieci, przesyłanie plików przez FTP/e-mail, 4 wejścia liniowe audio/1 wyjśc"&amp;"ie liniowe, 1 wyjście HDMI (16 wieloobrazowych, 1920x1080), 4 strefy prywatności, profil ONVIF S, SUNAPI (HTTP API)")</f>
        <v>16-kanałowy sieciowy koder wideo, maksymalna rozdzielczość 5 MP, maksymalna liczba klatek na sekundę 12 kl./s przy 5 MP, 15 kl./s przy 4 MP, 30 kl./s przy 1080p, obsługa kodeków H.265/H.264/MJPEG, strumieniowanie wielokrotne (do 3 profili na kanał), CVBS (Pelco-C)/AHD/TVI/CVI, 1 RJ-45 10/100/1000 Base-T, 16 wejść alarmowych/ 4 wyjścia, wyzwalacze alarmowe — wykrywanie ruchu, wejście alarmowe, utrata wideo, manipulacja, rozłączenie sieci, przesyłanie plików przez FTP/e-mail, 4 wejścia liniowe audio/1 wyjście liniowe, 1 wyjście HDMI (16 wieloobrazowych, 1920x1080), 4 strefy prywatności, profil ONVIF S, SUNAPI (HTTP API)</v>
      </c>
      <c r="K381" s="43" t="s">
        <v>21</v>
      </c>
      <c r="L381" s="44">
        <v>1205.0</v>
      </c>
      <c r="M381" s="8"/>
      <c r="N381" s="45" t="s">
        <v>22</v>
      </c>
      <c r="O381" s="97"/>
      <c r="P381" s="36"/>
      <c r="Q381" s="35"/>
      <c r="R381" s="68"/>
      <c r="S381" s="68"/>
      <c r="T381" s="68"/>
      <c r="U381" s="35"/>
      <c r="V381" s="35"/>
      <c r="W381" s="35"/>
      <c r="X381" s="35"/>
      <c r="Y381" s="35"/>
      <c r="Z381" s="35"/>
      <c r="AA381" s="35"/>
      <c r="AB381" s="35"/>
      <c r="AC381" s="60"/>
      <c r="AD381" s="85"/>
      <c r="AE381" s="85"/>
      <c r="AF381" s="85"/>
      <c r="AG381" s="85"/>
      <c r="AH381" s="85"/>
      <c r="AI381" s="85"/>
      <c r="AJ381" s="85"/>
      <c r="AK381" s="85"/>
      <c r="AL381" s="85"/>
      <c r="AM381" s="85"/>
      <c r="AN381" s="85"/>
      <c r="AO381" s="85"/>
      <c r="AP381" s="85"/>
    </row>
    <row r="382" ht="67.5" customHeight="1">
      <c r="A382" s="29"/>
      <c r="B382" s="38" t="s">
        <v>1139</v>
      </c>
      <c r="C382" s="39" t="s">
        <v>1140</v>
      </c>
      <c r="D382" s="40" t="s">
        <v>1141</v>
      </c>
      <c r="E382" s="40"/>
      <c r="F382" s="40" t="s">
        <v>1041</v>
      </c>
      <c r="G382" s="39" t="s">
        <v>1142</v>
      </c>
      <c r="H382" s="41" t="s">
        <v>170</v>
      </c>
      <c r="I382" s="48" t="s">
        <v>1143</v>
      </c>
      <c r="J382" s="42" t="str">
        <f>IFERROR(__xludf.DUMMYFUNCTION("GOOGLETRANSLATE(I382,""en"",""pl"")"),"Dekoder wideo sieciowy 64CH, do 64 kamer, podwójny port wyświetlania HDMI (HDMI#1 UHD, HDMI#2 FHD), maks. rozdzielczość 8M, 8M@60fps, 2M@360fps, potrójny kodek H.265/H.264/MJPEG, ONVIF, SUNAPI, RTSP, różne sposoby montażu: montaż z tyłu monitora i na słup"&amp;"ie, PoE/12VDC")</f>
        <v>Dekoder wideo sieciowy 64CH, do 64 kamer, podwójny port wyświetlania HDMI (HDMI#1 UHD, HDMI#2 FHD), maks. rozdzielczość 8M, 8M@60fps, 2M@360fps, potrójny kodek H.265/H.264/MJPEG, ONVIF, SUNAPI, RTSP, różne sposoby montażu: montaż z tyłu monitora i na słupie, PoE/12VDC</v>
      </c>
      <c r="K382" s="43" t="s">
        <v>21</v>
      </c>
      <c r="L382" s="44">
        <v>850.0</v>
      </c>
      <c r="M382" s="8"/>
      <c r="N382" s="45" t="s">
        <v>22</v>
      </c>
      <c r="O382" s="97"/>
      <c r="P382" s="36"/>
      <c r="Q382" s="35"/>
      <c r="R382" s="68"/>
      <c r="S382" s="68"/>
      <c r="T382" s="68"/>
      <c r="U382" s="35"/>
      <c r="V382" s="35"/>
      <c r="W382" s="35"/>
      <c r="X382" s="35"/>
      <c r="Y382" s="35"/>
      <c r="Z382" s="35"/>
      <c r="AA382" s="35"/>
      <c r="AB382" s="35"/>
      <c r="AC382" s="60"/>
      <c r="AD382" s="85"/>
      <c r="AE382" s="85"/>
      <c r="AF382" s="85"/>
      <c r="AG382" s="85"/>
      <c r="AH382" s="85"/>
      <c r="AI382" s="85"/>
      <c r="AJ382" s="85"/>
      <c r="AK382" s="85"/>
      <c r="AL382" s="85"/>
      <c r="AM382" s="85"/>
      <c r="AN382" s="85"/>
      <c r="AO382" s="85"/>
      <c r="AP382" s="85"/>
    </row>
    <row r="383" ht="30.0" customHeight="1">
      <c r="A383" s="29"/>
      <c r="B383" s="93" t="s">
        <v>1144</v>
      </c>
      <c r="C383" s="113"/>
      <c r="D383" s="113"/>
      <c r="E383" s="113"/>
      <c r="F383" s="113"/>
      <c r="G383" s="113"/>
      <c r="H383" s="113"/>
      <c r="I383" s="113"/>
      <c r="J383" s="42" t="str">
        <f>IFERROR(__xludf.DUMMYFUNCTION("GOOGLETRANSLATE(I383,""en"",""pl"")"),"#VALUE!")</f>
        <v>#VALUE!</v>
      </c>
      <c r="K383" s="113"/>
      <c r="L383" s="114"/>
      <c r="M383" s="115"/>
      <c r="N383" s="96"/>
      <c r="O383" s="83"/>
      <c r="P383" s="36"/>
      <c r="Q383" s="35"/>
      <c r="R383" s="68"/>
      <c r="S383" s="68"/>
      <c r="T383" s="68"/>
      <c r="U383" s="35"/>
      <c r="V383" s="35"/>
      <c r="W383" s="35"/>
      <c r="X383" s="35"/>
      <c r="Y383" s="35"/>
      <c r="Z383" s="35"/>
      <c r="AA383" s="35"/>
      <c r="AB383" s="35"/>
      <c r="AC383" s="60"/>
      <c r="AD383" s="85"/>
      <c r="AE383" s="85"/>
      <c r="AF383" s="85"/>
      <c r="AG383" s="85"/>
      <c r="AH383" s="85"/>
      <c r="AI383" s="85"/>
      <c r="AJ383" s="85"/>
      <c r="AK383" s="85"/>
      <c r="AL383" s="85"/>
      <c r="AM383" s="85"/>
      <c r="AN383" s="85"/>
      <c r="AO383" s="85"/>
      <c r="AP383" s="85"/>
    </row>
    <row r="384" ht="67.5" customHeight="1">
      <c r="A384" s="29"/>
      <c r="B384" s="38" t="s">
        <v>1145</v>
      </c>
      <c r="C384" s="39" t="s">
        <v>1146</v>
      </c>
      <c r="D384" s="40" t="s">
        <v>1147</v>
      </c>
      <c r="E384" s="40"/>
      <c r="F384" s="40"/>
      <c r="G384" s="39"/>
      <c r="H384" s="41" t="s">
        <v>170</v>
      </c>
      <c r="I384" s="48" t="s">
        <v>1148</v>
      </c>
      <c r="J384" s="42" t="str">
        <f>IFERROR(__xludf.DUMMYFUNCTION("GOOGLETRANSLATE(I384,""en"",""pl"")"),"Głośnik sufitowy IP, wbudowany wzmacniacz klasy D 10 W, PoE i PoE+, pamięć wewnętrzna 1 GB, maks. ciśnienie dźwięku 99 dB, zakres częstotliwości 120 Hz ~ 20 kHz, czułość 90 dB, obsługa protokołu IPv4, HTTP, SIP, mDNS, DNS, NTP, TCP, UDP, DHCP, ARP, ICMP, "&amp;"TTS (angielski, niemiecki, francuski, hiszpański), monitorowanie dźwięku (głośnik, test połączenia), sterowanie dynamicznym PA z wielu źródeł (do 48 kanałów, 256 stref, 255 grup) Czarny")</f>
        <v>Głośnik sufitowy IP, wbudowany wzmacniacz klasy D 10 W, PoE i PoE+, pamięć wewnętrzna 1 GB, maks. ciśnienie dźwięku 99 dB, zakres częstotliwości 120 Hz ~ 20 kHz, czułość 90 dB, obsługa protokołu IPv4, HTTP, SIP, mDNS, DNS, NTP, TCP, UDP, DHCP, ARP, ICMP, TTS (angielski, niemiecki, francuski, hiszpański), monitorowanie dźwięku (głośnik, test połączenia), sterowanie dynamicznym PA z wielu źródeł (do 48 kanałów, 256 stref, 255 grup) Czarny</v>
      </c>
      <c r="K384" s="43" t="s">
        <v>21</v>
      </c>
      <c r="L384" s="44">
        <v>743.0</v>
      </c>
      <c r="M384" s="8"/>
      <c r="N384" s="45" t="s">
        <v>22</v>
      </c>
      <c r="O384" s="97"/>
      <c r="P384" s="36"/>
      <c r="Q384" s="35"/>
      <c r="R384" s="68"/>
      <c r="S384" s="68"/>
      <c r="T384" s="68"/>
      <c r="U384" s="35"/>
      <c r="V384" s="35"/>
      <c r="W384" s="35"/>
      <c r="X384" s="35"/>
      <c r="Y384" s="35"/>
      <c r="Z384" s="35"/>
      <c r="AA384" s="35"/>
      <c r="AB384" s="35"/>
      <c r="AC384" s="60"/>
      <c r="AD384" s="85"/>
      <c r="AE384" s="85"/>
      <c r="AF384" s="85"/>
      <c r="AG384" s="85"/>
      <c r="AH384" s="85"/>
      <c r="AI384" s="85"/>
      <c r="AJ384" s="85"/>
      <c r="AK384" s="85"/>
      <c r="AL384" s="85"/>
      <c r="AM384" s="85"/>
      <c r="AN384" s="85"/>
      <c r="AO384" s="85"/>
      <c r="AP384" s="85"/>
    </row>
    <row r="385" ht="67.5" customHeight="1">
      <c r="A385" s="29"/>
      <c r="B385" s="38" t="s">
        <v>1145</v>
      </c>
      <c r="C385" s="39" t="s">
        <v>1149</v>
      </c>
      <c r="D385" s="40" t="s">
        <v>1147</v>
      </c>
      <c r="E385" s="40"/>
      <c r="F385" s="40"/>
      <c r="G385" s="39"/>
      <c r="H385" s="41" t="s">
        <v>170</v>
      </c>
      <c r="I385" s="48" t="s">
        <v>1150</v>
      </c>
      <c r="J385" s="42" t="str">
        <f>IFERROR(__xludf.DUMMYFUNCTION("GOOGLETRANSLATE(I385,""en"",""pl"")"),"Głośnik sufitowy IP, wbudowany wzmacniacz klasy D 10 W, PoE i PoE+, pamięć wewnętrzna 1 GB, maks. ciśnienie dźwięku 99 dB, zakres częstotliwości 120 Hz ~ 20 kHz, czułość 90 dB, obsługa protokołu IPv4, HTTP, SIP, mDNS, DNS, NTP, TCP, UDP, DHCP, ARP, ICMP, "&amp;"TTS (angielski, niemiecki, francuski, hiszpański), monitorowanie dźwięku (głośnik, test połączenia), sterowanie dynamicznym PA z wielu źródeł (do 48 kanałów, 256 stref, 255 grup) w kolorze białym")</f>
        <v>Głośnik sufitowy IP, wbudowany wzmacniacz klasy D 10 W, PoE i PoE+, pamięć wewnętrzna 1 GB, maks. ciśnienie dźwięku 99 dB, zakres częstotliwości 120 Hz ~ 20 kHz, czułość 90 dB, obsługa protokołu IPv4, HTTP, SIP, mDNS, DNS, NTP, TCP, UDP, DHCP, ARP, ICMP, TTS (angielski, niemiecki, francuski, hiszpański), monitorowanie dźwięku (głośnik, test połączenia), sterowanie dynamicznym PA z wielu źródeł (do 48 kanałów, 256 stref, 255 grup) w kolorze białym</v>
      </c>
      <c r="K385" s="43" t="s">
        <v>21</v>
      </c>
      <c r="L385" s="44">
        <v>743.0</v>
      </c>
      <c r="M385" s="8"/>
      <c r="N385" s="45" t="s">
        <v>22</v>
      </c>
      <c r="O385" s="97"/>
      <c r="P385" s="36"/>
      <c r="Q385" s="35"/>
      <c r="R385" s="68"/>
      <c r="S385" s="68"/>
      <c r="T385" s="68"/>
      <c r="U385" s="35"/>
      <c r="V385" s="35"/>
      <c r="W385" s="35"/>
      <c r="X385" s="35"/>
      <c r="Y385" s="35"/>
      <c r="Z385" s="35"/>
      <c r="AA385" s="35"/>
      <c r="AB385" s="35"/>
      <c r="AC385" s="60"/>
      <c r="AD385" s="85"/>
      <c r="AE385" s="85"/>
      <c r="AF385" s="85"/>
      <c r="AG385" s="85"/>
      <c r="AH385" s="85"/>
      <c r="AI385" s="85"/>
      <c r="AJ385" s="85"/>
      <c r="AK385" s="85"/>
      <c r="AL385" s="85"/>
      <c r="AM385" s="85"/>
      <c r="AN385" s="85"/>
      <c r="AO385" s="85"/>
      <c r="AP385" s="85"/>
    </row>
    <row r="386" ht="67.5" customHeight="1">
      <c r="A386" s="29"/>
      <c r="B386" s="38" t="s">
        <v>1145</v>
      </c>
      <c r="C386" s="39" t="s">
        <v>1151</v>
      </c>
      <c r="D386" s="40" t="s">
        <v>1152</v>
      </c>
      <c r="E386" s="40"/>
      <c r="F386" s="40"/>
      <c r="G386" s="39"/>
      <c r="H386" s="41" t="s">
        <v>170</v>
      </c>
      <c r="I386" s="48" t="s">
        <v>1153</v>
      </c>
      <c r="J386" s="42" t="str">
        <f>IFERROR(__xludf.DUMMYFUNCTION("GOOGLETRANSLATE(I386,""en"",""pl"")"),"Głośnik wiszący IP, wbudowany wzmacniacz klasy D 10 W, PoE i PoE+, pamięć wewnętrzna 1 GB, maks. ciśnienie dźwięku 99 dB, zakres częstotliwości 130 Hz ~ 20 kHz, czułość 91 dB, obsługa protokołu IPv4, HTTP, SIP, mDNS, DNS, NTP, TCP, UDP, DHCP, ARP, ICMP, T"&amp;"TS (angielski, niemiecki, francuski, hiszpański), monitorowanie dźwięku (głośnik, test połączenia), sterowanie dynamicznym PA z wielu źródeł (do 48 kanałów, 256 stref, 255 grup), kolor biały")</f>
        <v>Głośnik wiszący IP, wbudowany wzmacniacz klasy D 10 W, PoE i PoE+, pamięć wewnętrzna 1 GB, maks. ciśnienie dźwięku 99 dB, zakres częstotliwości 130 Hz ~ 20 kHz, czułość 91 dB, obsługa protokołu IPv4, HTTP, SIP, mDNS, DNS, NTP, TCP, UDP, DHCP, ARP, ICMP, TTS (angielski, niemiecki, francuski, hiszpański), monitorowanie dźwięku (głośnik, test połączenia), sterowanie dynamicznym PA z wielu źródeł (do 48 kanałów, 256 stref, 255 grup), kolor biały</v>
      </c>
      <c r="K386" s="43" t="s">
        <v>21</v>
      </c>
      <c r="L386" s="44">
        <v>892.0</v>
      </c>
      <c r="M386" s="8"/>
      <c r="N386" s="45" t="s">
        <v>22</v>
      </c>
      <c r="O386" s="97"/>
      <c r="P386" s="36"/>
      <c r="Q386" s="35"/>
      <c r="R386" s="68"/>
      <c r="S386" s="68"/>
      <c r="T386" s="68"/>
      <c r="U386" s="35"/>
      <c r="V386" s="35"/>
      <c r="W386" s="35"/>
      <c r="X386" s="35"/>
      <c r="Y386" s="35"/>
      <c r="Z386" s="35"/>
      <c r="AA386" s="35"/>
      <c r="AB386" s="35"/>
      <c r="AC386" s="60"/>
      <c r="AD386" s="85"/>
      <c r="AE386" s="85"/>
      <c r="AF386" s="85"/>
      <c r="AG386" s="85"/>
      <c r="AH386" s="85"/>
      <c r="AI386" s="85"/>
      <c r="AJ386" s="85"/>
      <c r="AK386" s="85"/>
      <c r="AL386" s="85"/>
      <c r="AM386" s="85"/>
      <c r="AN386" s="85"/>
      <c r="AO386" s="85"/>
      <c r="AP386" s="85"/>
    </row>
    <row r="387" ht="67.5" customHeight="1">
      <c r="A387" s="29"/>
      <c r="B387" s="38" t="s">
        <v>1145</v>
      </c>
      <c r="C387" s="39" t="s">
        <v>1154</v>
      </c>
      <c r="D387" s="40" t="s">
        <v>1152</v>
      </c>
      <c r="E387" s="40"/>
      <c r="F387" s="40"/>
      <c r="G387" s="39"/>
      <c r="H387" s="41" t="s">
        <v>170</v>
      </c>
      <c r="I387" s="48" t="s">
        <v>1155</v>
      </c>
      <c r="J387" s="42" t="str">
        <f>IFERROR(__xludf.DUMMYFUNCTION("GOOGLETRANSLATE(I387,""en"",""pl"")"),"Głośnik wiszący IP, wbudowany wzmacniacz klasy D 10 W, PoE i PoE+, pamięć wewnętrzna 1 GB, maks. ciśnienie dźwięku 99 dB, zakres częstotliwości 130 Hz ~ 20 kHz, czułość 91 dB, obsługa protokołu IPv4, HTTP, SIP, mDNS, DNS, NTP, TCP, UDP, DHCP, ARP, ICMP, T"&amp;"TS (angielski, niemiecki, francuski, hiszpański), monitorowanie dźwięku (głośnik, test połączenia), sterowanie dynamicznym PA z wielu źródeł (do 48 kanałów, 256 stref, 255 grup), kolor czarny")</f>
        <v>Głośnik wiszący IP, wbudowany wzmacniacz klasy D 10 W, PoE i PoE+, pamięć wewnętrzna 1 GB, maks. ciśnienie dźwięku 99 dB, zakres częstotliwości 130 Hz ~ 20 kHz, czułość 91 dB, obsługa protokołu IPv4, HTTP, SIP, mDNS, DNS, NTP, TCP, UDP, DHCP, ARP, ICMP, TTS (angielski, niemiecki, francuski, hiszpański), monitorowanie dźwięku (głośnik, test połączenia), sterowanie dynamicznym PA z wielu źródeł (do 48 kanałów, 256 stref, 255 grup), kolor czarny</v>
      </c>
      <c r="K387" s="43" t="s">
        <v>21</v>
      </c>
      <c r="L387" s="44">
        <v>892.0</v>
      </c>
      <c r="M387" s="8"/>
      <c r="N387" s="45" t="s">
        <v>22</v>
      </c>
      <c r="O387" s="97"/>
      <c r="P387" s="36"/>
      <c r="Q387" s="35"/>
      <c r="R387" s="68"/>
      <c r="S387" s="68"/>
      <c r="T387" s="68"/>
      <c r="U387" s="35"/>
      <c r="V387" s="35"/>
      <c r="W387" s="35"/>
      <c r="X387" s="35"/>
      <c r="Y387" s="35"/>
      <c r="Z387" s="35"/>
      <c r="AA387" s="35"/>
      <c r="AB387" s="35"/>
      <c r="AC387" s="60"/>
      <c r="AD387" s="85"/>
      <c r="AE387" s="85"/>
      <c r="AF387" s="85"/>
      <c r="AG387" s="85"/>
      <c r="AH387" s="85"/>
      <c r="AI387" s="85"/>
      <c r="AJ387" s="85"/>
      <c r="AK387" s="85"/>
      <c r="AL387" s="85"/>
      <c r="AM387" s="85"/>
      <c r="AN387" s="85"/>
      <c r="AO387" s="85"/>
      <c r="AP387" s="85"/>
    </row>
    <row r="388" ht="67.5" customHeight="1">
      <c r="A388" s="29"/>
      <c r="B388" s="38" t="s">
        <v>1145</v>
      </c>
      <c r="C388" s="39" t="s">
        <v>1156</v>
      </c>
      <c r="D388" s="40" t="s">
        <v>1157</v>
      </c>
      <c r="E388" s="40"/>
      <c r="F388" s="40"/>
      <c r="G388" s="39"/>
      <c r="H388" s="41" t="s">
        <v>170</v>
      </c>
      <c r="I388" s="48" t="s">
        <v>1158</v>
      </c>
      <c r="J388" s="42" t="str">
        <f>IFERROR(__xludf.DUMMYFUNCTION("GOOGLETRANSLATE(I388,""en"",""pl"")"),"Głośnik ścienny IP, wbudowany wzmacniacz klasy D 10 W, PoE i PoE+, pamięć wewnętrzna 1 GB, maks. ciśnienie dźwięku 99 dB, zakres częstotliwości 120 Hz ~ 20 kHz, czułość 90 dB, obsługa protokołu IPv4, HTTP, SIP, mDNS, DNS, NTP, TCP, UDP, DHCP, ARP, ICMP, T"&amp;"TS (angielski, niemiecki, francuski, hiszpański), monitorowanie dźwięku (głośnik, test połączenia), sterowanie dynamicznym PA z wielu źródeł (do 48 kanałów, 256 stref, 255 grup), IP54, czarny")</f>
        <v>Głośnik ścienny IP, wbudowany wzmacniacz klasy D 10 W, PoE i PoE+, pamięć wewnętrzna 1 GB, maks. ciśnienie dźwięku 99 dB, zakres częstotliwości 120 Hz ~ 20 kHz, czułość 90 dB, obsługa protokołu IPv4, HTTP, SIP, mDNS, DNS, NTP, TCP, UDP, DHCP, ARP, ICMP, TTS (angielski, niemiecki, francuski, hiszpański), monitorowanie dźwięku (głośnik, test połączenia), sterowanie dynamicznym PA z wielu źródeł (do 48 kanałów, 256 stref, 255 grup), IP54, czarny</v>
      </c>
      <c r="K388" s="43" t="s">
        <v>21</v>
      </c>
      <c r="L388" s="44">
        <v>967.0</v>
      </c>
      <c r="M388" s="8"/>
      <c r="N388" s="45" t="s">
        <v>22</v>
      </c>
      <c r="O388" s="97"/>
      <c r="P388" s="36"/>
      <c r="Q388" s="35"/>
      <c r="R388" s="68"/>
      <c r="S388" s="68"/>
      <c r="T388" s="68"/>
      <c r="U388" s="35"/>
      <c r="V388" s="35"/>
      <c r="W388" s="35"/>
      <c r="X388" s="35"/>
      <c r="Y388" s="35"/>
      <c r="Z388" s="35"/>
      <c r="AA388" s="35"/>
      <c r="AB388" s="35"/>
      <c r="AC388" s="60"/>
      <c r="AD388" s="85"/>
      <c r="AE388" s="85"/>
      <c r="AF388" s="85"/>
      <c r="AG388" s="85"/>
      <c r="AH388" s="85"/>
      <c r="AI388" s="85"/>
      <c r="AJ388" s="85"/>
      <c r="AK388" s="85"/>
      <c r="AL388" s="85"/>
      <c r="AM388" s="85"/>
      <c r="AN388" s="85"/>
      <c r="AO388" s="85"/>
      <c r="AP388" s="85"/>
    </row>
    <row r="389" ht="67.5" customHeight="1">
      <c r="A389" s="29"/>
      <c r="B389" s="38" t="s">
        <v>1145</v>
      </c>
      <c r="C389" s="39" t="s">
        <v>1159</v>
      </c>
      <c r="D389" s="40" t="s">
        <v>1157</v>
      </c>
      <c r="E389" s="40"/>
      <c r="F389" s="40"/>
      <c r="G389" s="39"/>
      <c r="H389" s="41" t="s">
        <v>170</v>
      </c>
      <c r="I389" s="48" t="s">
        <v>1160</v>
      </c>
      <c r="J389" s="42" t="str">
        <f>IFERROR(__xludf.DUMMYFUNCTION("GOOGLETRANSLATE(I389,""en"",""pl"")"),"Głośnik ścienny IP, wbudowany wzmacniacz klasy D 10 W, PoE i PoE+, pamięć wewnętrzna 1 GB, maks. ciśnienie dźwięku 99 dB, zakres częstotliwości 120 Hz ~ 20 kHz, czułość 90 dB, obsługa protokołu IPv4, HTTP, SIP, mDNS, DNS, NTP, TCP, UDP, DHCP, ARP, ICMP, T"&amp;"TS (angielski, niemiecki, francuski, hiszpański), monitorowanie dźwięku (głośnik, test połączenia), sterowanie dynamicznym PA z wielu źródeł (do 48 kanałów, 256 stref, 255 grup), IP54, biały")</f>
        <v>Głośnik ścienny IP, wbudowany wzmacniacz klasy D 10 W, PoE i PoE+, pamięć wewnętrzna 1 GB, maks. ciśnienie dźwięku 99 dB, zakres częstotliwości 120 Hz ~ 20 kHz, czułość 90 dB, obsługa protokołu IPv4, HTTP, SIP, mDNS, DNS, NTP, TCP, UDP, DHCP, ARP, ICMP, TTS (angielski, niemiecki, francuski, hiszpański), monitorowanie dźwięku (głośnik, test połączenia), sterowanie dynamicznym PA z wielu źródeł (do 48 kanałów, 256 stref, 255 grup), IP54, biały</v>
      </c>
      <c r="K389" s="43" t="s">
        <v>21</v>
      </c>
      <c r="L389" s="44">
        <v>967.0</v>
      </c>
      <c r="M389" s="8"/>
      <c r="N389" s="45" t="s">
        <v>22</v>
      </c>
      <c r="O389" s="97"/>
      <c r="P389" s="36"/>
      <c r="Q389" s="35"/>
      <c r="R389" s="68"/>
      <c r="S389" s="68"/>
      <c r="T389" s="68"/>
      <c r="U389" s="35"/>
      <c r="V389" s="35"/>
      <c r="W389" s="35"/>
      <c r="X389" s="35"/>
      <c r="Y389" s="35"/>
      <c r="Z389" s="35"/>
      <c r="AA389" s="35"/>
      <c r="AB389" s="35"/>
      <c r="AC389" s="60"/>
      <c r="AD389" s="85"/>
      <c r="AE389" s="85"/>
      <c r="AF389" s="85"/>
      <c r="AG389" s="85"/>
      <c r="AH389" s="85"/>
      <c r="AI389" s="85"/>
      <c r="AJ389" s="85"/>
      <c r="AK389" s="85"/>
      <c r="AL389" s="85"/>
      <c r="AM389" s="85"/>
      <c r="AN389" s="85"/>
      <c r="AO389" s="85"/>
      <c r="AP389" s="85"/>
    </row>
    <row r="390" ht="67.5" customHeight="1">
      <c r="A390" s="29"/>
      <c r="B390" s="38" t="s">
        <v>1145</v>
      </c>
      <c r="C390" s="39" t="s">
        <v>1161</v>
      </c>
      <c r="D390" s="40" t="s">
        <v>1162</v>
      </c>
      <c r="E390" s="40"/>
      <c r="F390" s="40"/>
      <c r="G390" s="39"/>
      <c r="H390" s="41" t="s">
        <v>170</v>
      </c>
      <c r="I390" s="48" t="s">
        <v>1163</v>
      </c>
      <c r="J390" s="42" t="str">
        <f>IFERROR(__xludf.DUMMYFUNCTION("GOOGLETRANSLATE(I390,""en"",""pl"")"),"Głośnik tubowy IP, wbudowany wzmacniacz klasy D 10 W, PoE i PoE+, pamięć wewnętrzna 1 GB, maks. ciśnienie dźwięku 99 dB, zakres częstotliwości 650 Hz ~ 5,3 kHz, czułość 111 dB, IPv4, HTTP, SIP, mDNS, DNS, NTP, TCP, UDP, DHCP, ARP, obsługa protokołu ICMP, "&amp;"TTS (angielski, niemiecki, francuski, hiszpański), monitorowanie dźwięku (głośnik, test połączenia), wieloźródłowa dynamiczna kontrola PA (do 48 kanałów, 256 stref, 255 grup), IP66, czarny")</f>
        <v>Głośnik tubowy IP, wbudowany wzmacniacz klasy D 10 W, PoE i PoE+, pamięć wewnętrzna 1 GB, maks. ciśnienie dźwięku 99 dB, zakres częstotliwości 650 Hz ~ 5,3 kHz, czułość 111 dB, IPv4, HTTP, SIP, mDNS, DNS, NTP, TCP, UDP, DHCP, ARP, obsługa protokołu ICMP, TTS (angielski, niemiecki, francuski, hiszpański), monitorowanie dźwięku (głośnik, test połączenia), wieloźródłowa dynamiczna kontrola PA (do 48 kanałów, 256 stref, 255 grup), IP66, czarny</v>
      </c>
      <c r="K390" s="43" t="s">
        <v>21</v>
      </c>
      <c r="L390" s="44">
        <v>1071.0</v>
      </c>
      <c r="M390" s="8"/>
      <c r="N390" s="45" t="s">
        <v>22</v>
      </c>
      <c r="O390" s="97"/>
      <c r="P390" s="36"/>
      <c r="Q390" s="35"/>
      <c r="R390" s="68"/>
      <c r="S390" s="68"/>
      <c r="T390" s="68"/>
      <c r="U390" s="35"/>
      <c r="V390" s="35"/>
      <c r="W390" s="35"/>
      <c r="X390" s="35"/>
      <c r="Y390" s="35"/>
      <c r="Z390" s="35"/>
      <c r="AA390" s="35"/>
      <c r="AB390" s="35"/>
      <c r="AC390" s="60"/>
      <c r="AD390" s="85"/>
      <c r="AE390" s="85"/>
      <c r="AF390" s="85"/>
      <c r="AG390" s="85"/>
      <c r="AH390" s="85"/>
      <c r="AI390" s="85"/>
      <c r="AJ390" s="85"/>
      <c r="AK390" s="85"/>
      <c r="AL390" s="85"/>
      <c r="AM390" s="85"/>
      <c r="AN390" s="85"/>
      <c r="AO390" s="85"/>
      <c r="AP390" s="85"/>
    </row>
    <row r="391" ht="67.5" customHeight="1">
      <c r="A391" s="29"/>
      <c r="B391" s="38" t="s">
        <v>1145</v>
      </c>
      <c r="C391" s="39" t="s">
        <v>1164</v>
      </c>
      <c r="D391" s="40" t="s">
        <v>1162</v>
      </c>
      <c r="E391" s="40"/>
      <c r="F391" s="40"/>
      <c r="G391" s="39"/>
      <c r="H391" s="41" t="s">
        <v>170</v>
      </c>
      <c r="I391" s="48" t="s">
        <v>1165</v>
      </c>
      <c r="J391" s="42" t="str">
        <f>IFERROR(__xludf.DUMMYFUNCTION("GOOGLETRANSLATE(I391,""en"",""pl"")"),"Głośnik tubowy IP, wbudowany wzmacniacz klasy D 10 W, PoE i PoE+, pamięć wewnętrzna 1 GB, maks. ciśnienie dźwięku 99 dB, zakres częstotliwości 650 Hz ~ 5,3 kHz, czułość 111 dB, IPv4, HTTP, SIP, mDNS, DNS, NTP, TCP, UDP, DHCP, ARP, obsługa protokołu ICMP, "&amp;"TTS (angielski, niemiecki, francuski, hiszpański), monitorowanie dźwięku (głośnik, test połączenia), wieloźródłowa dynamiczna kontrola PA (do 48 kanałów, 256 stref, 255 grup), IP66, biały")</f>
        <v>Głośnik tubowy IP, wbudowany wzmacniacz klasy D 10 W, PoE i PoE+, pamięć wewnętrzna 1 GB, maks. ciśnienie dźwięku 99 dB, zakres częstotliwości 650 Hz ~ 5,3 kHz, czułość 111 dB, IPv4, HTTP, SIP, mDNS, DNS, NTP, TCP, UDP, DHCP, ARP, obsługa protokołu ICMP, TTS (angielski, niemiecki, francuski, hiszpański), monitorowanie dźwięku (głośnik, test połączenia), wieloźródłowa dynamiczna kontrola PA (do 48 kanałów, 256 stref, 255 grup), IP66, biały</v>
      </c>
      <c r="K391" s="43" t="s">
        <v>21</v>
      </c>
      <c r="L391" s="44">
        <v>1071.0</v>
      </c>
      <c r="M391" s="8"/>
      <c r="N391" s="45" t="s">
        <v>22</v>
      </c>
      <c r="O391" s="97"/>
      <c r="P391" s="36"/>
      <c r="Q391" s="35"/>
      <c r="R391" s="68"/>
      <c r="S391" s="68"/>
      <c r="T391" s="68"/>
      <c r="U391" s="35"/>
      <c r="V391" s="35"/>
      <c r="W391" s="35"/>
      <c r="X391" s="35"/>
      <c r="Y391" s="35"/>
      <c r="Z391" s="35"/>
      <c r="AA391" s="35"/>
      <c r="AB391" s="35"/>
      <c r="AC391" s="60"/>
      <c r="AD391" s="85"/>
      <c r="AE391" s="85"/>
      <c r="AF391" s="85"/>
      <c r="AG391" s="85"/>
      <c r="AH391" s="85"/>
      <c r="AI391" s="85"/>
      <c r="AJ391" s="85"/>
      <c r="AK391" s="85"/>
      <c r="AL391" s="85"/>
      <c r="AM391" s="85"/>
      <c r="AN391" s="85"/>
      <c r="AO391" s="85"/>
      <c r="AP391" s="85"/>
    </row>
    <row r="392" ht="67.5" customHeight="1">
      <c r="A392" s="29"/>
      <c r="B392" s="38" t="s">
        <v>1166</v>
      </c>
      <c r="C392" s="39" t="s">
        <v>1167</v>
      </c>
      <c r="D392" s="40" t="s">
        <v>1168</v>
      </c>
      <c r="E392" s="40"/>
      <c r="F392" s="40"/>
      <c r="G392" s="39"/>
      <c r="H392" s="41" t="s">
        <v>170</v>
      </c>
      <c r="I392" s="48" t="s">
        <v>1169</v>
      </c>
      <c r="J392" s="42" t="str">
        <f>IFERROR(__xludf.DUMMYFUNCTION("GOOGLETRANSLATE(I392,""en"",""pl"")"),"Moduł audio IP, poziom wyjściowy +6 dBV ±3 dB, pasmo przenoszenia 20 Hz ~ 20 kHz, wbudowany wzmacniacz klasy D o mocy 10 W, PoE i PoE+, pamięć wewnętrzna 1 GB, obsługa protokołu IPv4, HTTP, SIP, mDNS, DNS, NTP, TCP, UDP, DHCP, ARP, ICMP, TTS (angielski, n"&amp;"iemiecki, francuski, hiszpański), monitorowanie dźwięku (głośnik, test połączenia), sterowanie dynamicznym nagłośnieniem wieloźródłowym (do 48 kanałów, 256 stref, 255 grup)")</f>
        <v>Moduł audio IP, poziom wyjściowy +6 dBV ±3 dB, pasmo przenoszenia 20 Hz ~ 20 kHz, wbudowany wzmacniacz klasy D o mocy 10 W, PoE i PoE+, pamięć wewnętrzna 1 GB, obsługa protokołu IPv4, HTTP, SIP, mDNS, DNS, NTP, TCP, UDP, DHCP, ARP, ICMP, TTS (angielski, niemiecki, francuski, hiszpański), monitorowanie dźwięku (głośnik, test połączenia), sterowanie dynamicznym nagłośnieniem wieloźródłowym (do 48 kanałów, 256 stref, 255 grup)</v>
      </c>
      <c r="K392" s="43" t="s">
        <v>21</v>
      </c>
      <c r="L392" s="44">
        <v>639.0</v>
      </c>
      <c r="M392" s="8"/>
      <c r="N392" s="45" t="s">
        <v>22</v>
      </c>
      <c r="O392" s="97"/>
      <c r="P392" s="36"/>
      <c r="Q392" s="35"/>
      <c r="R392" s="68"/>
      <c r="S392" s="68"/>
      <c r="T392" s="68"/>
      <c r="U392" s="35"/>
      <c r="V392" s="35"/>
      <c r="W392" s="35"/>
      <c r="X392" s="35"/>
      <c r="Y392" s="35"/>
      <c r="Z392" s="35"/>
      <c r="AA392" s="35"/>
      <c r="AB392" s="35"/>
      <c r="AC392" s="60"/>
      <c r="AD392" s="85"/>
      <c r="AE392" s="85"/>
      <c r="AF392" s="85"/>
      <c r="AG392" s="85"/>
      <c r="AH392" s="85"/>
      <c r="AI392" s="85"/>
      <c r="AJ392" s="85"/>
      <c r="AK392" s="85"/>
      <c r="AL392" s="85"/>
      <c r="AM392" s="85"/>
      <c r="AN392" s="85"/>
      <c r="AO392" s="85"/>
      <c r="AP392" s="85"/>
    </row>
    <row r="393" ht="67.5" customHeight="1">
      <c r="A393" s="29"/>
      <c r="B393" s="38" t="s">
        <v>1170</v>
      </c>
      <c r="C393" s="39" t="s">
        <v>1171</v>
      </c>
      <c r="D393" s="40" t="s">
        <v>1172</v>
      </c>
      <c r="E393" s="40"/>
      <c r="F393" s="40"/>
      <c r="G393" s="39"/>
      <c r="H393" s="41" t="s">
        <v>170</v>
      </c>
      <c r="I393" s="48" t="s">
        <v>1173</v>
      </c>
      <c r="J393" s="42" t="str">
        <f>IFERROR(__xludf.DUMMYFUNCTION("GOOGLETRANSLATE(I393,""en"",""pl"")"),"Mikrofon IP, poziom wyjściowy +10 dBV ±3 dB, pasmo przenoszenia 100 Hz ~ 18 kHz, PoE, protokół SIP")</f>
        <v>Mikrofon IP, poziom wyjściowy +10 dBV ±3 dB, pasmo przenoszenia 100 Hz ~ 18 kHz, PoE, protokół SIP</v>
      </c>
      <c r="K393" s="43" t="s">
        <v>21</v>
      </c>
      <c r="L393" s="44">
        <v>1687.0</v>
      </c>
      <c r="M393" s="8"/>
      <c r="N393" s="45" t="s">
        <v>22</v>
      </c>
      <c r="O393" s="97"/>
      <c r="P393" s="36"/>
      <c r="Q393" s="35"/>
      <c r="R393" s="68"/>
      <c r="S393" s="68"/>
      <c r="T393" s="68"/>
      <c r="U393" s="35"/>
      <c r="V393" s="35"/>
      <c r="W393" s="35"/>
      <c r="X393" s="35"/>
      <c r="Y393" s="35"/>
      <c r="Z393" s="35"/>
      <c r="AA393" s="35"/>
      <c r="AB393" s="35"/>
      <c r="AC393" s="60"/>
      <c r="AD393" s="85"/>
      <c r="AE393" s="85"/>
      <c r="AF393" s="85"/>
      <c r="AG393" s="85"/>
      <c r="AH393" s="85"/>
      <c r="AI393" s="85"/>
      <c r="AJ393" s="85"/>
      <c r="AK393" s="85"/>
      <c r="AL393" s="85"/>
      <c r="AM393" s="85"/>
      <c r="AN393" s="85"/>
      <c r="AO393" s="85"/>
      <c r="AP393" s="85"/>
    </row>
    <row r="394" ht="67.5" customHeight="1">
      <c r="A394" s="29"/>
      <c r="B394" s="38" t="s">
        <v>1174</v>
      </c>
      <c r="C394" s="39" t="s">
        <v>1175</v>
      </c>
      <c r="D394" s="40" t="s">
        <v>1176</v>
      </c>
      <c r="E394" s="40"/>
      <c r="F394" s="40"/>
      <c r="G394" s="39"/>
      <c r="H394" s="41" t="s">
        <v>170</v>
      </c>
      <c r="I394" s="48" t="s">
        <v>1177</v>
      </c>
      <c r="J394" s="42" t="str">
        <f>IFERROR(__xludf.DUMMYFUNCTION("GOOGLETRANSLATE(I394,""en"",""pl"")"),"Mostek analogowo-IP Audio, POE 15 W/24 V DC")</f>
        <v>Mostek analogowo-IP Audio, POE 15 W/24 V DC</v>
      </c>
      <c r="K394" s="43" t="s">
        <v>21</v>
      </c>
      <c r="L394" s="44">
        <v>601.0</v>
      </c>
      <c r="M394" s="8"/>
      <c r="N394" s="45" t="s">
        <v>22</v>
      </c>
      <c r="O394" s="97"/>
      <c r="P394" s="36"/>
      <c r="Q394" s="35"/>
      <c r="R394" s="68"/>
      <c r="S394" s="68"/>
      <c r="T394" s="68"/>
      <c r="U394" s="35"/>
      <c r="V394" s="35"/>
      <c r="W394" s="35"/>
      <c r="X394" s="35"/>
      <c r="Y394" s="35"/>
      <c r="Z394" s="35"/>
      <c r="AA394" s="35"/>
      <c r="AB394" s="35"/>
      <c r="AC394" s="60"/>
      <c r="AD394" s="85"/>
      <c r="AE394" s="85"/>
      <c r="AF394" s="85"/>
      <c r="AG394" s="85"/>
      <c r="AH394" s="85"/>
      <c r="AI394" s="85"/>
      <c r="AJ394" s="85"/>
      <c r="AK394" s="85"/>
      <c r="AL394" s="85"/>
      <c r="AM394" s="85"/>
      <c r="AN394" s="85"/>
      <c r="AO394" s="85"/>
      <c r="AP394" s="85"/>
    </row>
    <row r="395" ht="67.5" customHeight="1">
      <c r="A395" s="29"/>
      <c r="B395" s="38" t="s">
        <v>1178</v>
      </c>
      <c r="C395" s="39" t="s">
        <v>1179</v>
      </c>
      <c r="D395" s="40" t="s">
        <v>1180</v>
      </c>
      <c r="E395" s="40"/>
      <c r="F395" s="40"/>
      <c r="G395" s="39"/>
      <c r="H395" s="41" t="s">
        <v>170</v>
      </c>
      <c r="I395" s="48" t="s">
        <v>1181</v>
      </c>
      <c r="J395" s="42" t="str">
        <f>IFERROR(__xludf.DUMMYFUNCTION("GOOGLETRANSLATE(I395,""en"",""pl"")"),"Serwer audio IP, 10/100 Base-T Ethernet, PoE, IPv4, HTTP, SIP, mDNS, DNS, NTP, TCP, UDP, DHCP, ARP, obsługa protokołów ICMP, sterowanie dynamicznym PA z wielu źródeł (do 48 kanałów, 256 stref, 255 grup)")</f>
        <v>Serwer audio IP, 10/100 Base-T Ethernet, PoE, IPv4, HTTP, SIP, mDNS, DNS, NTP, TCP, UDP, DHCP, ARP, obsługa protokołów ICMP, sterowanie dynamicznym PA z wielu źródeł (do 48 kanałów, 256 stref, 255 grup)</v>
      </c>
      <c r="K395" s="43" t="s">
        <v>21</v>
      </c>
      <c r="L395" s="44">
        <v>4913.0</v>
      </c>
      <c r="M395" s="8"/>
      <c r="N395" s="45" t="s">
        <v>22</v>
      </c>
      <c r="O395" s="97"/>
      <c r="P395" s="36"/>
      <c r="Q395" s="35"/>
      <c r="R395" s="68"/>
      <c r="S395" s="68"/>
      <c r="T395" s="68"/>
      <c r="U395" s="35"/>
      <c r="V395" s="35"/>
      <c r="W395" s="35"/>
      <c r="X395" s="35"/>
      <c r="Y395" s="35"/>
      <c r="Z395" s="35"/>
      <c r="AA395" s="35"/>
      <c r="AB395" s="35"/>
      <c r="AC395" s="60"/>
      <c r="AD395" s="85"/>
      <c r="AE395" s="85"/>
      <c r="AF395" s="85"/>
      <c r="AG395" s="85"/>
      <c r="AH395" s="85"/>
      <c r="AI395" s="85"/>
      <c r="AJ395" s="85"/>
      <c r="AK395" s="85"/>
      <c r="AL395" s="85"/>
      <c r="AM395" s="85"/>
      <c r="AN395" s="85"/>
      <c r="AO395" s="85"/>
      <c r="AP395" s="85"/>
    </row>
    <row r="396" ht="46.5" customHeight="1">
      <c r="A396" s="29"/>
      <c r="B396" s="38" t="s">
        <v>1178</v>
      </c>
      <c r="C396" s="39" t="s">
        <v>1182</v>
      </c>
      <c r="D396" s="40" t="s">
        <v>1183</v>
      </c>
      <c r="E396" s="40"/>
      <c r="F396" s="40"/>
      <c r="G396" s="39"/>
      <c r="H396" s="41" t="s">
        <v>170</v>
      </c>
      <c r="I396" s="48" t="s">
        <v>1184</v>
      </c>
      <c r="J396" s="42" t="str">
        <f>IFERROR(__xludf.DUMMYFUNCTION("GOOGLETRANSLATE(I396,""en"",""pl"")"),"Sygnalizator dźwiękowy – głośnik o maks. poziomie ciśnienia akustycznego 90 dB w odległości 1 m (3,28 stopy) i paśmie częstotliwości 144 Hz–20 kHz, 5 mikrofonów cyfrowych z możliwością wyboru trybu dwukierunkowego/jednokierunkowego, komunikacja pełnoduple"&amp;"ksowa z redukcją echa i szumów. Klasyfikacja dźwięku (stłuczenie szkła, krzyk, zdarzenie o ekstremalnym natężeniu decybeli, metadane zdarzenia (kierunek dźwięku, pewność, klip audio, poziom dB), pierścień LED (zielony, niebieski, czerwony, różowy, błękitn"&amp;"y, fioletowy), ustawienie początkowej i końcowej akcji, USB-C do instalacji aplikacji, 2 konfigurowalne cyfrowe wejścia/wyjścia, PoE+, profil ONVIF S, SUNAPI (API HTTP), otwarta platforma Wisenet, dołączony pakiet klasyfikacji dźwięku AI, bezpieczny eleme"&amp;"nt (FIPS 140-3 poziom 3), znamionowe do użytku wewnątrz pomieszczeń, temperatura pracy / wilgotność -20°C ~ +55°C (-4°F ~ +122°F) / wilgotność względna poniżej 90%, temperatura przechowywania / wilgotność -50°C ~ +60°C (-58°F ~ +140°F) / wilgotność względ"&amp;"na poniżej 90%")</f>
        <v>Sygnalizator dźwiękowy – głośnik o maks. poziomie ciśnienia akustycznego 90 dB w odległości 1 m (3,28 stopy) i paśmie częstotliwości 144 Hz–20 kHz, 5 mikrofonów cyfrowych z możliwością wyboru trybu dwukierunkowego/jednokierunkowego, komunikacja pełnodupleksowa z redukcją echa i szumów. Klasyfikacja dźwięku (stłuczenie szkła, krzyk, zdarzenie o ekstremalnym natężeniu decybeli, metadane zdarzenia (kierunek dźwięku, pewność, klip audio, poziom dB), pierścień LED (zielony, niebieski, czerwony, różowy, błękitny, fioletowy), ustawienie początkowej i końcowej akcji, USB-C do instalacji aplikacji, 2 konfigurowalne cyfrowe wejścia/wyjścia, PoE+, profil ONVIF S, SUNAPI (API HTTP), otwarta platforma Wisenet, dołączony pakiet klasyfikacji dźwięku AI, bezpieczny element (FIPS 140-3 poziom 3), znamionowe do użytku wewnątrz pomieszczeń, temperatura pracy / wilgotność -20°C ~ +55°C (-4°F ~ +122°F) / wilgotność względna poniżej 90%, temperatura przechowywania / wilgotność -50°C ~ +60°C (-58°F ~ +140°F) / wilgotność względna poniżej 90%</v>
      </c>
      <c r="K396" s="43" t="s">
        <v>21</v>
      </c>
      <c r="L396" s="44">
        <v>899.0</v>
      </c>
      <c r="M396" s="8"/>
      <c r="N396" s="45" t="s">
        <v>22</v>
      </c>
      <c r="O396" s="97"/>
      <c r="P396" s="35"/>
      <c r="Q396" s="35"/>
      <c r="R396" s="68"/>
      <c r="S396" s="68"/>
      <c r="T396" s="68"/>
      <c r="U396" s="35"/>
      <c r="V396" s="35"/>
      <c r="W396" s="35"/>
      <c r="X396" s="35"/>
      <c r="Y396" s="35"/>
      <c r="Z396" s="35"/>
      <c r="AA396" s="35"/>
      <c r="AB396" s="35"/>
      <c r="AC396" s="101"/>
      <c r="AD396" s="98"/>
      <c r="AE396" s="98"/>
      <c r="AF396" s="98"/>
      <c r="AG396" s="98"/>
      <c r="AH396" s="98"/>
      <c r="AI396" s="98"/>
      <c r="AJ396" s="98"/>
      <c r="AK396" s="98"/>
      <c r="AL396" s="98"/>
      <c r="AM396" s="98"/>
      <c r="AN396" s="98"/>
      <c r="AO396" s="98"/>
      <c r="AP396" s="98"/>
    </row>
    <row r="397" ht="30.0" customHeight="1">
      <c r="A397" s="29"/>
      <c r="B397" s="93" t="s">
        <v>1185</v>
      </c>
      <c r="C397" s="113"/>
      <c r="D397" s="113"/>
      <c r="E397" s="113"/>
      <c r="F397" s="113"/>
      <c r="G397" s="113"/>
      <c r="H397" s="113"/>
      <c r="I397" s="113"/>
      <c r="J397" s="42" t="str">
        <f>IFERROR(__xludf.DUMMYFUNCTION("GOOGLETRANSLATE(I397,""en"",""pl"")"),"#VALUE!")</f>
        <v>#VALUE!</v>
      </c>
      <c r="K397" s="113"/>
      <c r="L397" s="114"/>
      <c r="M397" s="115"/>
      <c r="N397" s="96"/>
      <c r="O397" s="83"/>
      <c r="P397" s="36"/>
      <c r="Q397" s="35"/>
      <c r="R397" s="68"/>
      <c r="S397" s="68"/>
      <c r="T397" s="68"/>
      <c r="U397" s="35"/>
      <c r="V397" s="35"/>
      <c r="W397" s="35"/>
      <c r="X397" s="35"/>
      <c r="Y397" s="35"/>
      <c r="Z397" s="35"/>
      <c r="AA397" s="35"/>
      <c r="AB397" s="35"/>
      <c r="AC397" s="60"/>
      <c r="AD397" s="85"/>
      <c r="AE397" s="85"/>
      <c r="AF397" s="85"/>
      <c r="AG397" s="85"/>
      <c r="AH397" s="85"/>
      <c r="AI397" s="85"/>
      <c r="AJ397" s="85"/>
      <c r="AK397" s="85"/>
      <c r="AL397" s="85"/>
      <c r="AM397" s="85"/>
      <c r="AN397" s="85"/>
      <c r="AO397" s="85"/>
      <c r="AP397" s="85"/>
    </row>
    <row r="398" ht="60.0" customHeight="1">
      <c r="A398" s="29"/>
      <c r="B398" s="116" t="s">
        <v>1186</v>
      </c>
      <c r="C398" s="117" t="s">
        <v>1187</v>
      </c>
      <c r="D398" s="118" t="s">
        <v>1188</v>
      </c>
      <c r="E398" s="118" t="s">
        <v>1189</v>
      </c>
      <c r="F398" s="118" t="s">
        <v>538</v>
      </c>
      <c r="G398" s="117" t="s">
        <v>18</v>
      </c>
      <c r="H398" s="126" t="s">
        <v>19</v>
      </c>
      <c r="I398" s="121" t="s">
        <v>1190</v>
      </c>
      <c r="J398" s="42" t="str">
        <f>IFERROR(__xludf.DUMMYFUNCTION("GOOGLETRANSLATE(I398,""en"",""pl"")"),"Kamera IR typu bullet z serii HD+ o rozdzielczości 4 MP, dostępna w formatach AHD lub CVBS, z manualnym obiektywem zmiennoogniskowym (3,1X) (3,2–10 mm), tryb dzień/noc (ICR), 24 V AC/12 V DC, zasięg podczerwieni 30 m, IP66/IK10")</f>
        <v>Kamera IR typu bullet z serii HD+ o rozdzielczości 4 MP, dostępna w formatach AHD lub CVBS, z manualnym obiektywem zmiennoogniskowym (3,1X) (3,2–10 mm), tryb dzień/noc (ICR), 24 V AC/12 V DC, zasięg podczerwieni 30 m, IP66/IK10</v>
      </c>
      <c r="K398" s="43" t="s">
        <v>21</v>
      </c>
      <c r="L398" s="44">
        <v>276.0</v>
      </c>
      <c r="M398" s="8"/>
      <c r="N398" s="45" t="s">
        <v>22</v>
      </c>
      <c r="O398" s="97"/>
      <c r="P398" s="36"/>
      <c r="Q398" s="35"/>
      <c r="R398" s="68"/>
      <c r="S398" s="68"/>
      <c r="T398" s="68"/>
      <c r="U398" s="35"/>
      <c r="V398" s="35"/>
      <c r="W398" s="35"/>
      <c r="X398" s="35"/>
      <c r="Y398" s="35"/>
      <c r="Z398" s="35"/>
      <c r="AA398" s="35"/>
      <c r="AB398" s="35"/>
      <c r="AC398" s="60"/>
      <c r="AD398" s="85"/>
      <c r="AE398" s="85"/>
      <c r="AF398" s="85"/>
      <c r="AG398" s="85"/>
      <c r="AH398" s="85"/>
      <c r="AI398" s="85"/>
      <c r="AJ398" s="85"/>
      <c r="AK398" s="85"/>
      <c r="AL398" s="85"/>
      <c r="AM398" s="85"/>
      <c r="AN398" s="85"/>
      <c r="AO398" s="85"/>
      <c r="AP398" s="85"/>
    </row>
    <row r="399" ht="60.0" customHeight="1">
      <c r="A399" s="29"/>
      <c r="B399" s="38" t="s">
        <v>1186</v>
      </c>
      <c r="C399" s="39" t="s">
        <v>1191</v>
      </c>
      <c r="D399" s="40" t="s">
        <v>1188</v>
      </c>
      <c r="E399" s="40" t="s">
        <v>1189</v>
      </c>
      <c r="F399" s="40" t="s">
        <v>538</v>
      </c>
      <c r="G399" s="39" t="s">
        <v>18</v>
      </c>
      <c r="H399" s="41" t="s">
        <v>19</v>
      </c>
      <c r="I399" s="48" t="s">
        <v>1192</v>
      </c>
      <c r="J399" s="42" t="str">
        <f>IFERROR(__xludf.DUMMYFUNCTION("GOOGLETRANSLATE(I399,""en"",""pl"")"),"Kamera IR typu bullet z serii HD+ o rozdzielczości 4 MP, dostępna w formatach AHD lub CVBS, obiektyw stałoogniskowy 2,8 mm, tryb dzień/noc (ICR), 12 V prądu stałego, zasięg podczerwieni 20 m, IP66/IK10")</f>
        <v>Kamera IR typu bullet z serii HD+ o rozdzielczości 4 MP, dostępna w formatach AHD lub CVBS, obiektyw stałoogniskowy 2,8 mm, tryb dzień/noc (ICR), 12 V prądu stałego, zasięg podczerwieni 20 m, IP66/IK10</v>
      </c>
      <c r="K399" s="43" t="s">
        <v>21</v>
      </c>
      <c r="L399" s="44">
        <v>184.0</v>
      </c>
      <c r="M399" s="8"/>
      <c r="N399" s="45" t="s">
        <v>22</v>
      </c>
      <c r="O399" s="97"/>
      <c r="P399" s="36"/>
      <c r="Q399" s="35"/>
      <c r="R399" s="68"/>
      <c r="S399" s="68"/>
      <c r="T399" s="68"/>
      <c r="U399" s="35"/>
      <c r="V399" s="35"/>
      <c r="W399" s="35"/>
      <c r="X399" s="35"/>
      <c r="Y399" s="35"/>
      <c r="Z399" s="35"/>
      <c r="AA399" s="35"/>
      <c r="AB399" s="35"/>
      <c r="AC399" s="60"/>
      <c r="AD399" s="85"/>
      <c r="AE399" s="85"/>
      <c r="AF399" s="85"/>
      <c r="AG399" s="85"/>
      <c r="AH399" s="85"/>
      <c r="AI399" s="85"/>
      <c r="AJ399" s="85"/>
      <c r="AK399" s="85"/>
      <c r="AL399" s="85"/>
      <c r="AM399" s="85"/>
      <c r="AN399" s="85"/>
      <c r="AO399" s="85"/>
      <c r="AP399" s="85"/>
    </row>
    <row r="400" ht="60.0" customHeight="1">
      <c r="A400" s="29"/>
      <c r="B400" s="38" t="s">
        <v>1186</v>
      </c>
      <c r="C400" s="39" t="s">
        <v>1193</v>
      </c>
      <c r="D400" s="40" t="s">
        <v>1188</v>
      </c>
      <c r="E400" s="40" t="s">
        <v>1189</v>
      </c>
      <c r="F400" s="40" t="s">
        <v>538</v>
      </c>
      <c r="G400" s="39" t="s">
        <v>18</v>
      </c>
      <c r="H400" s="41" t="s">
        <v>19</v>
      </c>
      <c r="I400" s="48" t="s">
        <v>1194</v>
      </c>
      <c r="J400" s="42" t="str">
        <f>IFERROR(__xludf.DUMMYFUNCTION("GOOGLETRANSLATE(I400,""en"",""pl"")"),"Kamera IR typu bullet z serii HD+ o rozdzielczości 4 MP, dostępna w formatach AHD lub CVBS, obiektyw stałoogniskowy 4,0 mm, tryb dzień/noc (ICR), 12 V prądu stałego, odległość podczerwieni 25 m, IP66/IK10")</f>
        <v>Kamera IR typu bullet z serii HD+ o rozdzielczości 4 MP, dostępna w formatach AHD lub CVBS, obiektyw stałoogniskowy 4,0 mm, tryb dzień/noc (ICR), 12 V prądu stałego, odległość podczerwieni 25 m, IP66/IK10</v>
      </c>
      <c r="K400" s="43" t="s">
        <v>21</v>
      </c>
      <c r="L400" s="44">
        <v>184.0</v>
      </c>
      <c r="M400" s="8"/>
      <c r="N400" s="45" t="s">
        <v>22</v>
      </c>
      <c r="O400" s="97"/>
      <c r="P400" s="36"/>
      <c r="Q400" s="35"/>
      <c r="R400" s="68"/>
      <c r="S400" s="68"/>
      <c r="T400" s="68"/>
      <c r="U400" s="35"/>
      <c r="V400" s="35"/>
      <c r="W400" s="35"/>
      <c r="X400" s="35"/>
      <c r="Y400" s="35"/>
      <c r="Z400" s="35"/>
      <c r="AA400" s="35"/>
      <c r="AB400" s="35"/>
      <c r="AC400" s="60"/>
      <c r="AD400" s="85"/>
      <c r="AE400" s="85"/>
      <c r="AF400" s="85"/>
      <c r="AG400" s="85"/>
      <c r="AH400" s="85"/>
      <c r="AI400" s="85"/>
      <c r="AJ400" s="85"/>
      <c r="AK400" s="85"/>
      <c r="AL400" s="85"/>
      <c r="AM400" s="85"/>
      <c r="AN400" s="85"/>
      <c r="AO400" s="85"/>
      <c r="AP400" s="85"/>
    </row>
    <row r="401" ht="60.0" customHeight="1">
      <c r="A401" s="29"/>
      <c r="B401" s="38" t="s">
        <v>1186</v>
      </c>
      <c r="C401" s="39" t="s">
        <v>1195</v>
      </c>
      <c r="D401" s="40" t="s">
        <v>1188</v>
      </c>
      <c r="E401" s="40" t="s">
        <v>1189</v>
      </c>
      <c r="F401" s="40" t="s">
        <v>538</v>
      </c>
      <c r="G401" s="39" t="s">
        <v>18</v>
      </c>
      <c r="H401" s="41" t="s">
        <v>19</v>
      </c>
      <c r="I401" s="48" t="s">
        <v>1196</v>
      </c>
      <c r="J401" s="42" t="str">
        <f>IFERROR(__xludf.DUMMYFUNCTION("GOOGLETRANSLATE(I401,""en"",""pl"")"),"Kamera IR typu bullet z serii HD+ o rozdzielczości 4 MP, dostępna w formatach AHD lub CVBS, obiektyw stałoogniskowy 6,0 mm, tryb dzień/noc (ICR), 12 V prądu stałego, zasięg podczerwieni 30 m, IP66/IK10")</f>
        <v>Kamera IR typu bullet z serii HD+ o rozdzielczości 4 MP, dostępna w formatach AHD lub CVBS, obiektyw stałoogniskowy 6,0 mm, tryb dzień/noc (ICR), 12 V prądu stałego, zasięg podczerwieni 30 m, IP66/IK10</v>
      </c>
      <c r="K401" s="43" t="s">
        <v>21</v>
      </c>
      <c r="L401" s="44">
        <v>184.0</v>
      </c>
      <c r="M401" s="8"/>
      <c r="N401" s="45" t="s">
        <v>22</v>
      </c>
      <c r="O401" s="97"/>
      <c r="P401" s="36"/>
      <c r="Q401" s="35"/>
      <c r="R401" s="68"/>
      <c r="S401" s="68"/>
      <c r="T401" s="68"/>
      <c r="U401" s="35"/>
      <c r="V401" s="35"/>
      <c r="W401" s="35"/>
      <c r="X401" s="35"/>
      <c r="Y401" s="35"/>
      <c r="Z401" s="35"/>
      <c r="AA401" s="35"/>
      <c r="AB401" s="35"/>
      <c r="AC401" s="60"/>
      <c r="AD401" s="85"/>
      <c r="AE401" s="85"/>
      <c r="AF401" s="85"/>
      <c r="AG401" s="85"/>
      <c r="AH401" s="85"/>
      <c r="AI401" s="85"/>
      <c r="AJ401" s="85"/>
      <c r="AK401" s="85"/>
      <c r="AL401" s="85"/>
      <c r="AM401" s="85"/>
      <c r="AN401" s="85"/>
      <c r="AO401" s="85"/>
      <c r="AP401" s="85"/>
    </row>
    <row r="402" ht="60.0" customHeight="1">
      <c r="A402" s="29"/>
      <c r="B402" s="38" t="s">
        <v>1186</v>
      </c>
      <c r="C402" s="39" t="s">
        <v>1197</v>
      </c>
      <c r="D402" s="40" t="s">
        <v>1198</v>
      </c>
      <c r="E402" s="40" t="s">
        <v>1189</v>
      </c>
      <c r="F402" s="40" t="s">
        <v>538</v>
      </c>
      <c r="G402" s="39" t="s">
        <v>184</v>
      </c>
      <c r="H402" s="41" t="s">
        <v>19</v>
      </c>
      <c r="I402" s="48" t="s">
        <v>1199</v>
      </c>
      <c r="J402" s="42" t="str">
        <f>IFERROR(__xludf.DUMMYFUNCTION("GOOGLETRANSLATE(I402,""en"",""pl"")"),"Kamera zewnętrzna kopułkowa IR serii HD+ o rozdzielczości 4 MP, dostępna w formatach AHD lub CVBS, obiektyw z manualną regulacją ogniskowej (3,1X) (3,2–10 mm), tryb dzień/noc (ICR), 24 V AC/12 V DC, zasięg podczerwieni 30 m, IP66/IK10")</f>
        <v>Kamera zewnętrzna kopułkowa IR serii HD+ o rozdzielczości 4 MP, dostępna w formatach AHD lub CVBS, obiektyw z manualną regulacją ogniskowej (3,1X) (3,2–10 mm), tryb dzień/noc (ICR), 24 V AC/12 V DC, zasięg podczerwieni 30 m, IP66/IK10</v>
      </c>
      <c r="K402" s="43" t="s">
        <v>21</v>
      </c>
      <c r="L402" s="44">
        <v>276.0</v>
      </c>
      <c r="M402" s="8"/>
      <c r="N402" s="45" t="s">
        <v>22</v>
      </c>
      <c r="O402" s="97"/>
      <c r="P402" s="36"/>
      <c r="Q402" s="35"/>
      <c r="R402" s="68"/>
      <c r="S402" s="68"/>
      <c r="T402" s="68"/>
      <c r="U402" s="35"/>
      <c r="V402" s="35"/>
      <c r="W402" s="35"/>
      <c r="X402" s="35"/>
      <c r="Y402" s="35"/>
      <c r="Z402" s="35"/>
      <c r="AA402" s="35"/>
      <c r="AB402" s="35"/>
      <c r="AC402" s="60"/>
      <c r="AD402" s="85"/>
      <c r="AE402" s="85"/>
      <c r="AF402" s="85"/>
      <c r="AG402" s="85"/>
      <c r="AH402" s="85"/>
      <c r="AI402" s="85"/>
      <c r="AJ402" s="85"/>
      <c r="AK402" s="85"/>
      <c r="AL402" s="85"/>
      <c r="AM402" s="85"/>
      <c r="AN402" s="85"/>
      <c r="AO402" s="85"/>
      <c r="AP402" s="85"/>
    </row>
    <row r="403" ht="60.0" customHeight="1">
      <c r="A403" s="29"/>
      <c r="B403" s="38" t="s">
        <v>1186</v>
      </c>
      <c r="C403" s="39" t="s">
        <v>1200</v>
      </c>
      <c r="D403" s="40" t="s">
        <v>1198</v>
      </c>
      <c r="E403" s="40" t="s">
        <v>1189</v>
      </c>
      <c r="F403" s="40" t="s">
        <v>538</v>
      </c>
      <c r="G403" s="39" t="s">
        <v>184</v>
      </c>
      <c r="H403" s="41" t="s">
        <v>19</v>
      </c>
      <c r="I403" s="48" t="s">
        <v>1201</v>
      </c>
      <c r="J403" s="42" t="str">
        <f>IFERROR(__xludf.DUMMYFUNCTION("GOOGLETRANSLATE(I403,""en"",""pl"")"),"Kamera zewnętrzna kopułkowa IR serii HD+ o rozdzielczości 4 MP, dostępna w formatach AHD lub CVBS, obiektyw stałoogniskowy 2,8 mm, tryb dzień/noc (ICR), 12 V prądu stałego, zasięg podczerwieni 20 m, IP66/IK10")</f>
        <v>Kamera zewnętrzna kopułkowa IR serii HD+ o rozdzielczości 4 MP, dostępna w formatach AHD lub CVBS, obiektyw stałoogniskowy 2,8 mm, tryb dzień/noc (ICR), 12 V prądu stałego, zasięg podczerwieni 20 m, IP66/IK10</v>
      </c>
      <c r="K403" s="43" t="s">
        <v>21</v>
      </c>
      <c r="L403" s="44">
        <v>184.0</v>
      </c>
      <c r="M403" s="8"/>
      <c r="N403" s="45" t="s">
        <v>22</v>
      </c>
      <c r="O403" s="97"/>
      <c r="P403" s="36"/>
      <c r="Q403" s="35"/>
      <c r="R403" s="68"/>
      <c r="S403" s="68"/>
      <c r="T403" s="68"/>
      <c r="U403" s="35"/>
      <c r="V403" s="35"/>
      <c r="W403" s="35"/>
      <c r="X403" s="35"/>
      <c r="Y403" s="35"/>
      <c r="Z403" s="35"/>
      <c r="AA403" s="35"/>
      <c r="AB403" s="35"/>
      <c r="AC403" s="60"/>
      <c r="AD403" s="85"/>
      <c r="AE403" s="85"/>
      <c r="AF403" s="85"/>
      <c r="AG403" s="85"/>
      <c r="AH403" s="85"/>
      <c r="AI403" s="85"/>
      <c r="AJ403" s="85"/>
      <c r="AK403" s="85"/>
      <c r="AL403" s="85"/>
      <c r="AM403" s="85"/>
      <c r="AN403" s="85"/>
      <c r="AO403" s="85"/>
      <c r="AP403" s="85"/>
    </row>
    <row r="404" ht="60.0" customHeight="1">
      <c r="A404" s="29"/>
      <c r="B404" s="38" t="s">
        <v>1186</v>
      </c>
      <c r="C404" s="39" t="s">
        <v>1202</v>
      </c>
      <c r="D404" s="40" t="s">
        <v>1198</v>
      </c>
      <c r="E404" s="40" t="s">
        <v>1189</v>
      </c>
      <c r="F404" s="40" t="s">
        <v>538</v>
      </c>
      <c r="G404" s="39" t="s">
        <v>184</v>
      </c>
      <c r="H404" s="41" t="s">
        <v>19</v>
      </c>
      <c r="I404" s="48" t="s">
        <v>1203</v>
      </c>
      <c r="J404" s="42" t="str">
        <f>IFERROR(__xludf.DUMMYFUNCTION("GOOGLETRANSLATE(I404,""en"",""pl"")"),"Kamera zewnętrzna kopułkowa IR serii HD+ o rozdzielczości 4 MP, dostępna w formatach AHD lub CVBS, obiektyw stałoogniskowy 4,0 mm, tryb dzień/noc (ICR), 12 V prądu stałego, zasięg podczerwieni 25 m, IP66/IK10")</f>
        <v>Kamera zewnętrzna kopułkowa IR serii HD+ o rozdzielczości 4 MP, dostępna w formatach AHD lub CVBS, obiektyw stałoogniskowy 4,0 mm, tryb dzień/noc (ICR), 12 V prądu stałego, zasięg podczerwieni 25 m, IP66/IK10</v>
      </c>
      <c r="K404" s="43" t="s">
        <v>21</v>
      </c>
      <c r="L404" s="44">
        <v>184.0</v>
      </c>
      <c r="M404" s="8"/>
      <c r="N404" s="45" t="s">
        <v>22</v>
      </c>
      <c r="O404" s="97"/>
      <c r="P404" s="36"/>
      <c r="Q404" s="35"/>
      <c r="R404" s="68"/>
      <c r="S404" s="68"/>
      <c r="T404" s="68"/>
      <c r="U404" s="35"/>
      <c r="V404" s="35"/>
      <c r="W404" s="35"/>
      <c r="X404" s="35"/>
      <c r="Y404" s="35"/>
      <c r="Z404" s="35"/>
      <c r="AA404" s="35"/>
      <c r="AB404" s="35"/>
      <c r="AC404" s="60"/>
      <c r="AD404" s="85"/>
      <c r="AE404" s="85"/>
      <c r="AF404" s="85"/>
      <c r="AG404" s="85"/>
      <c r="AH404" s="85"/>
      <c r="AI404" s="85"/>
      <c r="AJ404" s="85"/>
      <c r="AK404" s="85"/>
      <c r="AL404" s="85"/>
      <c r="AM404" s="85"/>
      <c r="AN404" s="85"/>
      <c r="AO404" s="85"/>
      <c r="AP404" s="85"/>
    </row>
    <row r="405" ht="60.0" customHeight="1">
      <c r="A405" s="29"/>
      <c r="B405" s="38" t="s">
        <v>1186</v>
      </c>
      <c r="C405" s="39" t="s">
        <v>1204</v>
      </c>
      <c r="D405" s="40" t="s">
        <v>1198</v>
      </c>
      <c r="E405" s="40" t="s">
        <v>1189</v>
      </c>
      <c r="F405" s="40" t="s">
        <v>538</v>
      </c>
      <c r="G405" s="39" t="s">
        <v>184</v>
      </c>
      <c r="H405" s="41" t="s">
        <v>19</v>
      </c>
      <c r="I405" s="48" t="s">
        <v>1205</v>
      </c>
      <c r="J405" s="42" t="str">
        <f>IFERROR(__xludf.DUMMYFUNCTION("GOOGLETRANSLATE(I405,""en"",""pl"")"),"Kamera zewnętrzna kopułkowa IR serii HD+ o rozdzielczości 4 MP, dostępna w formatach AHD lub CVBS, obiektyw stałoogniskowy 6,0 mm, tryb dzień/noc (ICR), 12 V prądu stałego, zasięg podczerwieni 30 m, IP66/IK10")</f>
        <v>Kamera zewnętrzna kopułkowa IR serii HD+ o rozdzielczości 4 MP, dostępna w formatach AHD lub CVBS, obiektyw stałoogniskowy 6,0 mm, tryb dzień/noc (ICR), 12 V prądu stałego, zasięg podczerwieni 30 m, IP66/IK10</v>
      </c>
      <c r="K405" s="43" t="s">
        <v>21</v>
      </c>
      <c r="L405" s="44">
        <v>184.0</v>
      </c>
      <c r="M405" s="8"/>
      <c r="N405" s="45" t="s">
        <v>22</v>
      </c>
      <c r="O405" s="97"/>
      <c r="P405" s="36"/>
      <c r="Q405" s="35"/>
      <c r="R405" s="68"/>
      <c r="S405" s="68"/>
      <c r="T405" s="68"/>
      <c r="U405" s="35"/>
      <c r="V405" s="35"/>
      <c r="W405" s="35"/>
      <c r="X405" s="35"/>
      <c r="Y405" s="35"/>
      <c r="Z405" s="35"/>
      <c r="AA405" s="35"/>
      <c r="AB405" s="35"/>
      <c r="AC405" s="60"/>
      <c r="AD405" s="85"/>
      <c r="AE405" s="85"/>
      <c r="AF405" s="85"/>
      <c r="AG405" s="85"/>
      <c r="AH405" s="85"/>
      <c r="AI405" s="85"/>
      <c r="AJ405" s="85"/>
      <c r="AK405" s="85"/>
      <c r="AL405" s="85"/>
      <c r="AM405" s="85"/>
      <c r="AN405" s="85"/>
      <c r="AO405" s="85"/>
      <c r="AP405" s="85"/>
    </row>
    <row r="406" ht="60.0" customHeight="1">
      <c r="A406" s="29"/>
      <c r="B406" s="38" t="s">
        <v>1186</v>
      </c>
      <c r="C406" s="39" t="s">
        <v>1206</v>
      </c>
      <c r="D406" s="40" t="s">
        <v>1207</v>
      </c>
      <c r="E406" s="40" t="s">
        <v>1189</v>
      </c>
      <c r="F406" s="40" t="s">
        <v>538</v>
      </c>
      <c r="G406" s="39" t="s">
        <v>192</v>
      </c>
      <c r="H406" s="41" t="s">
        <v>19</v>
      </c>
      <c r="I406" s="48" t="s">
        <v>1208</v>
      </c>
      <c r="J406" s="42" t="str">
        <f>IFERROR(__xludf.DUMMYFUNCTION("GOOGLETRANSLATE(I406,""en"",""pl"")"),"Kamera kopułkowa wewnętrzna z serii HD+ o rozdzielczości 4 MP i podczerwieni, dostępna w formatach AHD lub CVBS, z manualnym obiektywem zmiennoogniskowym (3,1X) (3,2–10 mm), tryb dzień/noc (ICR), 24 V AC/12 V DC, zasięg podczerwieni 20 m")</f>
        <v>Kamera kopułkowa wewnętrzna z serii HD+ o rozdzielczości 4 MP i podczerwieni, dostępna w formatach AHD lub CVBS, z manualnym obiektywem zmiennoogniskowym (3,1X) (3,2–10 mm), tryb dzień/noc (ICR), 24 V AC/12 V DC, zasięg podczerwieni 20 m</v>
      </c>
      <c r="K406" s="43" t="s">
        <v>21</v>
      </c>
      <c r="L406" s="44">
        <v>248.0</v>
      </c>
      <c r="M406" s="8"/>
      <c r="N406" s="45" t="s">
        <v>22</v>
      </c>
      <c r="O406" s="97"/>
      <c r="P406" s="36"/>
      <c r="Q406" s="35"/>
      <c r="R406" s="68"/>
      <c r="S406" s="68"/>
      <c r="T406" s="68"/>
      <c r="U406" s="35"/>
      <c r="V406" s="35"/>
      <c r="W406" s="35"/>
      <c r="X406" s="35"/>
      <c r="Y406" s="35"/>
      <c r="Z406" s="35"/>
      <c r="AA406" s="35"/>
      <c r="AB406" s="35"/>
      <c r="AC406" s="60"/>
      <c r="AD406" s="85"/>
      <c r="AE406" s="85"/>
      <c r="AF406" s="85"/>
      <c r="AG406" s="85"/>
      <c r="AH406" s="85"/>
      <c r="AI406" s="85"/>
      <c r="AJ406" s="85"/>
      <c r="AK406" s="85"/>
      <c r="AL406" s="85"/>
      <c r="AM406" s="85"/>
      <c r="AN406" s="85"/>
      <c r="AO406" s="85"/>
      <c r="AP406" s="85"/>
    </row>
    <row r="407" ht="60.0" customHeight="1">
      <c r="A407" s="29"/>
      <c r="B407" s="38" t="s">
        <v>1186</v>
      </c>
      <c r="C407" s="39" t="s">
        <v>1209</v>
      </c>
      <c r="D407" s="40" t="s">
        <v>1207</v>
      </c>
      <c r="E407" s="40" t="s">
        <v>1189</v>
      </c>
      <c r="F407" s="40" t="s">
        <v>538</v>
      </c>
      <c r="G407" s="39" t="s">
        <v>192</v>
      </c>
      <c r="H407" s="41" t="s">
        <v>19</v>
      </c>
      <c r="I407" s="48" t="s">
        <v>1210</v>
      </c>
      <c r="J407" s="42" t="str">
        <f>IFERROR(__xludf.DUMMYFUNCTION("GOOGLETRANSLATE(I407,""en"",""pl"")"),"Kamera kopułkowa wewnętrzna z podczerwienią serii HD+ o rozdzielczości 4 MP, dostępna w formatach AHD lub CVBS, obiektyw stałoogniskowy 2,8 mm, tryb dzień/noc (ICR), 12 V prądu stałego, zasięg podczerwieni 20 m")</f>
        <v>Kamera kopułkowa wewnętrzna z podczerwienią serii HD+ o rozdzielczości 4 MP, dostępna w formatach AHD lub CVBS, obiektyw stałoogniskowy 2,8 mm, tryb dzień/noc (ICR), 12 V prądu stałego, zasięg podczerwieni 20 m</v>
      </c>
      <c r="K407" s="43" t="s">
        <v>21</v>
      </c>
      <c r="L407" s="44">
        <v>166.0</v>
      </c>
      <c r="M407" s="8"/>
      <c r="N407" s="45" t="s">
        <v>22</v>
      </c>
      <c r="O407" s="97"/>
      <c r="P407" s="36"/>
      <c r="Q407" s="35"/>
      <c r="R407" s="68"/>
      <c r="S407" s="68"/>
      <c r="T407" s="68"/>
      <c r="U407" s="35"/>
      <c r="V407" s="35"/>
      <c r="W407" s="35"/>
      <c r="X407" s="35"/>
      <c r="Y407" s="35"/>
      <c r="Z407" s="35"/>
      <c r="AA407" s="35"/>
      <c r="AB407" s="35"/>
      <c r="AC407" s="60"/>
      <c r="AD407" s="85"/>
      <c r="AE407" s="85"/>
      <c r="AF407" s="85"/>
      <c r="AG407" s="85"/>
      <c r="AH407" s="85"/>
      <c r="AI407" s="85"/>
      <c r="AJ407" s="85"/>
      <c r="AK407" s="85"/>
      <c r="AL407" s="85"/>
      <c r="AM407" s="85"/>
      <c r="AN407" s="85"/>
      <c r="AO407" s="85"/>
      <c r="AP407" s="85"/>
    </row>
    <row r="408" ht="60.0" customHeight="1">
      <c r="A408" s="29"/>
      <c r="B408" s="38" t="s">
        <v>1186</v>
      </c>
      <c r="C408" s="39" t="s">
        <v>1211</v>
      </c>
      <c r="D408" s="40" t="s">
        <v>1207</v>
      </c>
      <c r="E408" s="40" t="s">
        <v>1189</v>
      </c>
      <c r="F408" s="40" t="s">
        <v>538</v>
      </c>
      <c r="G408" s="39" t="s">
        <v>192</v>
      </c>
      <c r="H408" s="41" t="s">
        <v>19</v>
      </c>
      <c r="I408" s="48" t="s">
        <v>1212</v>
      </c>
      <c r="J408" s="42" t="str">
        <f>IFERROR(__xludf.DUMMYFUNCTION("GOOGLETRANSLATE(I408,""en"",""pl"")"),"Kamera kopułkowa IR serii HD+ 4MP do zastosowań wewnętrznych, dostępna w formatach AHD lub CVBS, obiektyw stałoogniskowy 4,0 mm, tryb dzień/noc (ICR), 12 V prądu stałego, odległość podczerwieni 25 m")</f>
        <v>Kamera kopułkowa IR serii HD+ 4MP do zastosowań wewnętrznych, dostępna w formatach AHD lub CVBS, obiektyw stałoogniskowy 4,0 mm, tryb dzień/noc (ICR), 12 V prądu stałego, odległość podczerwieni 25 m</v>
      </c>
      <c r="K408" s="43" t="s">
        <v>21</v>
      </c>
      <c r="L408" s="44">
        <v>166.0</v>
      </c>
      <c r="M408" s="8"/>
      <c r="N408" s="45" t="s">
        <v>22</v>
      </c>
      <c r="O408" s="97"/>
      <c r="P408" s="36"/>
      <c r="Q408" s="35"/>
      <c r="R408" s="68"/>
      <c r="S408" s="68"/>
      <c r="T408" s="68"/>
      <c r="U408" s="35"/>
      <c r="V408" s="35"/>
      <c r="W408" s="35"/>
      <c r="X408" s="35"/>
      <c r="Y408" s="35"/>
      <c r="Z408" s="35"/>
      <c r="AA408" s="35"/>
      <c r="AB408" s="35"/>
      <c r="AC408" s="60"/>
      <c r="AD408" s="85"/>
      <c r="AE408" s="85"/>
      <c r="AF408" s="85"/>
      <c r="AG408" s="85"/>
      <c r="AH408" s="85"/>
      <c r="AI408" s="85"/>
      <c r="AJ408" s="85"/>
      <c r="AK408" s="85"/>
      <c r="AL408" s="85"/>
      <c r="AM408" s="85"/>
      <c r="AN408" s="85"/>
      <c r="AO408" s="85"/>
      <c r="AP408" s="85"/>
    </row>
    <row r="409" ht="60.0" customHeight="1">
      <c r="A409" s="29"/>
      <c r="B409" s="38" t="s">
        <v>1186</v>
      </c>
      <c r="C409" s="39" t="s">
        <v>1213</v>
      </c>
      <c r="D409" s="40" t="s">
        <v>1207</v>
      </c>
      <c r="E409" s="40" t="s">
        <v>1189</v>
      </c>
      <c r="F409" s="40" t="s">
        <v>538</v>
      </c>
      <c r="G409" s="39" t="s">
        <v>192</v>
      </c>
      <c r="H409" s="41" t="s">
        <v>19</v>
      </c>
      <c r="I409" s="48" t="s">
        <v>1214</v>
      </c>
      <c r="J409" s="42" t="str">
        <f>IFERROR(__xludf.DUMMYFUNCTION("GOOGLETRANSLATE(I409,""en"",""pl"")"),"Kamera kopułkowa IR serii HD+ 4MP do użytku wewnętrznego, dostępna w formatach AHD lub CVBS, obiektyw stałoogniskowy 6,0 mm, tryb dzień/noc (ICR), 12 V prądu stałego, zasięg podczerwieni 30 m")</f>
        <v>Kamera kopułkowa IR serii HD+ 4MP do użytku wewnętrznego, dostępna w formatach AHD lub CVBS, obiektyw stałoogniskowy 6,0 mm, tryb dzień/noc (ICR), 12 V prądu stałego, zasięg podczerwieni 30 m</v>
      </c>
      <c r="K409" s="43" t="s">
        <v>21</v>
      </c>
      <c r="L409" s="44">
        <v>166.0</v>
      </c>
      <c r="M409" s="8"/>
      <c r="N409" s="45" t="s">
        <v>22</v>
      </c>
      <c r="O409" s="97"/>
      <c r="P409" s="36"/>
      <c r="Q409" s="35"/>
      <c r="R409" s="68"/>
      <c r="S409" s="68"/>
      <c r="T409" s="68"/>
      <c r="U409" s="35"/>
      <c r="V409" s="35"/>
      <c r="W409" s="35"/>
      <c r="X409" s="35"/>
      <c r="Y409" s="35"/>
      <c r="Z409" s="35"/>
      <c r="AA409" s="35"/>
      <c r="AB409" s="35"/>
      <c r="AC409" s="60"/>
      <c r="AD409" s="85"/>
      <c r="AE409" s="85"/>
      <c r="AF409" s="85"/>
      <c r="AG409" s="85"/>
      <c r="AH409" s="85"/>
      <c r="AI409" s="85"/>
      <c r="AJ409" s="85"/>
      <c r="AK409" s="85"/>
      <c r="AL409" s="85"/>
      <c r="AM409" s="85"/>
      <c r="AN409" s="85"/>
      <c r="AO409" s="85"/>
      <c r="AP409" s="85"/>
    </row>
    <row r="410" ht="60.0" customHeight="1">
      <c r="A410" s="29"/>
      <c r="B410" s="38" t="s">
        <v>1186</v>
      </c>
      <c r="C410" s="39" t="s">
        <v>1215</v>
      </c>
      <c r="D410" s="40" t="s">
        <v>1216</v>
      </c>
      <c r="E410" s="40" t="s">
        <v>1189</v>
      </c>
      <c r="F410" s="40" t="s">
        <v>538</v>
      </c>
      <c r="G410" s="39" t="s">
        <v>131</v>
      </c>
      <c r="H410" s="41" t="s">
        <v>19</v>
      </c>
      <c r="I410" s="48" t="s">
        <v>1217</v>
      </c>
      <c r="J410" s="42" t="str">
        <f>IFERROR(__xludf.DUMMYFUNCTION("GOOGLETRANSLATE(I410,""en"",""pl"")"),"Kamera analogowa typu box z serii HD+, 4 MP, AHD, manualne ustawianie ostrości, AHD/CVBS/RS-485, BLC/HLC/DWDR, True Day &amp; Night (ICR), detekcja ruchu, zasięg transmisji do 500 m, 24 V AC/12 V DC ※ Obiektyw nie jest dołączony")</f>
        <v>Kamera analogowa typu box z serii HD+, 4 MP, AHD, manualne ustawianie ostrości, AHD/CVBS/RS-485, BLC/HLC/DWDR, True Day &amp; Night (ICR), detekcja ruchu, zasięg transmisji do 500 m, 24 V AC/12 V DC ※ Obiektyw nie jest dołączony</v>
      </c>
      <c r="K410" s="43" t="s">
        <v>21</v>
      </c>
      <c r="L410" s="44">
        <v>166.0</v>
      </c>
      <c r="M410" s="8"/>
      <c r="N410" s="45" t="s">
        <v>22</v>
      </c>
      <c r="O410" s="97"/>
      <c r="P410" s="36"/>
      <c r="Q410" s="35"/>
      <c r="R410" s="68"/>
      <c r="S410" s="68"/>
      <c r="T410" s="68"/>
      <c r="U410" s="35"/>
      <c r="V410" s="35"/>
      <c r="W410" s="35"/>
      <c r="X410" s="35"/>
      <c r="Y410" s="35"/>
      <c r="Z410" s="35"/>
      <c r="AA410" s="35"/>
      <c r="AB410" s="35"/>
      <c r="AC410" s="60"/>
      <c r="AD410" s="85"/>
      <c r="AE410" s="85"/>
      <c r="AF410" s="85"/>
      <c r="AG410" s="85"/>
      <c r="AH410" s="85"/>
      <c r="AI410" s="85"/>
      <c r="AJ410" s="85"/>
      <c r="AK410" s="85"/>
      <c r="AL410" s="85"/>
      <c r="AM410" s="85"/>
      <c r="AN410" s="85"/>
      <c r="AO410" s="85"/>
      <c r="AP410" s="85"/>
    </row>
    <row r="411" ht="60.0" customHeight="1">
      <c r="A411" s="29"/>
      <c r="B411" s="38" t="s">
        <v>1186</v>
      </c>
      <c r="C411" s="39" t="s">
        <v>1218</v>
      </c>
      <c r="D411" s="40" t="s">
        <v>1216</v>
      </c>
      <c r="E411" s="40" t="s">
        <v>1189</v>
      </c>
      <c r="F411" s="40" t="s">
        <v>538</v>
      </c>
      <c r="G411" s="39" t="s">
        <v>131</v>
      </c>
      <c r="H411" s="41" t="s">
        <v>19</v>
      </c>
      <c r="I411" s="48" t="s">
        <v>1219</v>
      </c>
      <c r="J411" s="42" t="str">
        <f>IFERROR(__xludf.DUMMYFUNCTION("GOOGLETRANSLATE(I411,""en"",""pl"")"),"Kamera analogowa typu box z serii HD+, 4 MP, AHD, ręczne ustawianie ostrości, AHD/CVBS/RS-485, BLC/HLC/DWDR, True Day &amp; Night (ICR), wykrywanie ruchu, zasięg transmisji do 500 m, 230 V AC ※ Obiektyw nie jest dołączony")</f>
        <v>Kamera analogowa typu box z serii HD+, 4 MP, AHD, ręczne ustawianie ostrości, AHD/CVBS/RS-485, BLC/HLC/DWDR, True Day &amp; Night (ICR), wykrywanie ruchu, zasięg transmisji do 500 m, 230 V AC ※ Obiektyw nie jest dołączony</v>
      </c>
      <c r="K411" s="43" t="s">
        <v>21</v>
      </c>
      <c r="L411" s="44">
        <v>194.0</v>
      </c>
      <c r="M411" s="8"/>
      <c r="N411" s="45" t="s">
        <v>22</v>
      </c>
      <c r="O411" s="97"/>
      <c r="P411" s="36"/>
      <c r="Q411" s="35"/>
      <c r="R411" s="68"/>
      <c r="S411" s="68"/>
      <c r="T411" s="68"/>
      <c r="U411" s="35"/>
      <c r="V411" s="35"/>
      <c r="W411" s="35"/>
      <c r="X411" s="35"/>
      <c r="Y411" s="35"/>
      <c r="Z411" s="35"/>
      <c r="AA411" s="35"/>
      <c r="AB411" s="35"/>
      <c r="AC411" s="60"/>
      <c r="AD411" s="85"/>
      <c r="AE411" s="85"/>
      <c r="AF411" s="85"/>
      <c r="AG411" s="85"/>
      <c r="AH411" s="85"/>
      <c r="AI411" s="85"/>
      <c r="AJ411" s="85"/>
      <c r="AK411" s="85"/>
      <c r="AL411" s="85"/>
      <c r="AM411" s="85"/>
      <c r="AN411" s="85"/>
      <c r="AO411" s="85"/>
      <c r="AP411" s="85"/>
    </row>
    <row r="412" ht="60.0" customHeight="1">
      <c r="A412" s="29"/>
      <c r="B412" s="38" t="s">
        <v>1186</v>
      </c>
      <c r="C412" s="39" t="s">
        <v>1220</v>
      </c>
      <c r="D412" s="40" t="s">
        <v>1221</v>
      </c>
      <c r="E412" s="40" t="s">
        <v>1189</v>
      </c>
      <c r="F412" s="40" t="s">
        <v>623</v>
      </c>
      <c r="G412" s="39" t="s">
        <v>18</v>
      </c>
      <c r="H412" s="41" t="s">
        <v>19</v>
      </c>
      <c r="I412" s="48" t="s">
        <v>1222</v>
      </c>
      <c r="J412" s="42" t="str">
        <f>IFERROR(__xludf.DUMMYFUNCTION("GOOGLETRANSLATE(I412,""en"",""pl"")"),"Kamera zewnętrzna typu bullet z serii HD+ o rozdzielczości 2 MP, Full HD (1080p) i 30 kl./s z podczerwienią, AHD/TVI/CVI/CVBS, z obiektywem zmiennoogniskowym z napędem silnikowym (3,1X) (3,2–10 mm), prawdziwy WDR 120 dB, tryb dzień/noc (ICR), 24 V AC/12 V"&amp;" DC, zasięg podczerwieni 30 m, IP66/IK10")</f>
        <v>Kamera zewnętrzna typu bullet z serii HD+ o rozdzielczości 2 MP, Full HD (1080p) i 30 kl./s z podczerwienią, AHD/TVI/CVI/CVBS, z obiektywem zmiennoogniskowym z napędem silnikowym (3,1X) (3,2–10 mm), prawdziwy WDR 120 dB, tryb dzień/noc (ICR), 24 V AC/12 V DC, zasięg podczerwieni 30 m, IP66/IK10</v>
      </c>
      <c r="K412" s="43" t="s">
        <v>21</v>
      </c>
      <c r="L412" s="44">
        <v>304.0</v>
      </c>
      <c r="M412" s="8"/>
      <c r="N412" s="45" t="s">
        <v>22</v>
      </c>
      <c r="O412" s="97"/>
      <c r="P412" s="36"/>
      <c r="Q412" s="35"/>
      <c r="R412" s="68"/>
      <c r="S412" s="68"/>
      <c r="T412" s="68"/>
      <c r="U412" s="35"/>
      <c r="V412" s="35"/>
      <c r="W412" s="35"/>
      <c r="X412" s="35"/>
      <c r="Y412" s="35"/>
      <c r="Z412" s="35"/>
      <c r="AA412" s="35"/>
      <c r="AB412" s="35"/>
      <c r="AC412" s="60"/>
      <c r="AD412" s="85"/>
      <c r="AE412" s="85"/>
      <c r="AF412" s="85"/>
      <c r="AG412" s="85"/>
      <c r="AH412" s="85"/>
      <c r="AI412" s="85"/>
      <c r="AJ412" s="85"/>
      <c r="AK412" s="85"/>
      <c r="AL412" s="85"/>
      <c r="AM412" s="85"/>
      <c r="AN412" s="85"/>
      <c r="AO412" s="85"/>
      <c r="AP412" s="85"/>
    </row>
    <row r="413" ht="60.0" customHeight="1">
      <c r="A413" s="29"/>
      <c r="B413" s="38" t="s">
        <v>1186</v>
      </c>
      <c r="C413" s="39" t="s">
        <v>1223</v>
      </c>
      <c r="D413" s="40" t="s">
        <v>1224</v>
      </c>
      <c r="E413" s="40" t="s">
        <v>1189</v>
      </c>
      <c r="F413" s="40" t="s">
        <v>623</v>
      </c>
      <c r="G413" s="39" t="s">
        <v>18</v>
      </c>
      <c r="H413" s="41" t="s">
        <v>19</v>
      </c>
      <c r="I413" s="48" t="s">
        <v>1225</v>
      </c>
      <c r="J413" s="42" t="str">
        <f>IFERROR(__xludf.DUMMYFUNCTION("GOOGLETRANSLATE(I413,""en"",""pl"")"),"Kamera zewnętrzna typu bullet z serii HD+ o rozdzielczości 2 MP, Full HD (1080p) i 30 kl./s, AHD/TVI/CVI/CVBS, obiektyw zmiennoogniskowy z napędem silnikowym (3,1X) (3,2–10 mm), prawdziwy WDR 120 dB, tryb dzień/noc (ICR), 24 V AC/12 V DC, IP66/IK10")</f>
        <v>Kamera zewnętrzna typu bullet z serii HD+ o rozdzielczości 2 MP, Full HD (1080p) i 30 kl./s, AHD/TVI/CVI/CVBS, obiektyw zmiennoogniskowy z napędem silnikowym (3,1X) (3,2–10 mm), prawdziwy WDR 120 dB, tryb dzień/noc (ICR), 24 V AC/12 V DC, IP66/IK10</v>
      </c>
      <c r="K413" s="43" t="s">
        <v>21</v>
      </c>
      <c r="L413" s="44">
        <v>280.0</v>
      </c>
      <c r="M413" s="8"/>
      <c r="N413" s="45" t="s">
        <v>22</v>
      </c>
      <c r="O413" s="97"/>
      <c r="P413" s="36"/>
      <c r="Q413" s="35"/>
      <c r="R413" s="68"/>
      <c r="S413" s="68"/>
      <c r="T413" s="68"/>
      <c r="U413" s="35"/>
      <c r="V413" s="35"/>
      <c r="W413" s="35"/>
      <c r="X413" s="35"/>
      <c r="Y413" s="35"/>
      <c r="Z413" s="35"/>
      <c r="AA413" s="35"/>
      <c r="AB413" s="35"/>
      <c r="AC413" s="60"/>
      <c r="AD413" s="85"/>
      <c r="AE413" s="85"/>
      <c r="AF413" s="85"/>
      <c r="AG413" s="85"/>
      <c r="AH413" s="85"/>
      <c r="AI413" s="85"/>
      <c r="AJ413" s="85"/>
      <c r="AK413" s="85"/>
      <c r="AL413" s="85"/>
      <c r="AM413" s="85"/>
      <c r="AN413" s="85"/>
      <c r="AO413" s="85"/>
      <c r="AP413" s="85"/>
    </row>
    <row r="414" ht="60.0" customHeight="1">
      <c r="A414" s="29"/>
      <c r="B414" s="38" t="s">
        <v>1186</v>
      </c>
      <c r="C414" s="39" t="s">
        <v>1226</v>
      </c>
      <c r="D414" s="40" t="s">
        <v>1221</v>
      </c>
      <c r="E414" s="40" t="s">
        <v>1189</v>
      </c>
      <c r="F414" s="40" t="s">
        <v>623</v>
      </c>
      <c r="G414" s="39" t="s">
        <v>18</v>
      </c>
      <c r="H414" s="41" t="s">
        <v>19</v>
      </c>
      <c r="I414" s="48" t="s">
        <v>1227</v>
      </c>
      <c r="J414" s="42" t="str">
        <f>IFERROR(__xludf.DUMMYFUNCTION("GOOGLETRANSLATE(I414,""en"",""pl"")"),"Kamera zewnętrzna typu bullet z serii HD+ o rozdzielczości 2 MP, Full HD (1080p) i 30 kl./s z podczerwienią, AHD/TVI/CVI/CVBS, manualny obiektyw zmiennoogniskowy (3,1X) (3,2–10 mm), prawdziwy WDR 120 dB, tryb dzień/noc (ICR), 24 V AC/12 V DC, zasięg podcz"&amp;"erwieni 30 m, IP66/IK10")</f>
        <v>Kamera zewnętrzna typu bullet z serii HD+ o rozdzielczości 2 MP, Full HD (1080p) i 30 kl./s z podczerwienią, AHD/TVI/CVI/CVBS, manualny obiektyw zmiennoogniskowy (3,1X) (3,2–10 mm), prawdziwy WDR 120 dB, tryb dzień/noc (ICR), 24 V AC/12 V DC, zasięg podczerwieni 30 m, IP66/IK10</v>
      </c>
      <c r="K414" s="43" t="s">
        <v>21</v>
      </c>
      <c r="L414" s="44">
        <v>276.0</v>
      </c>
      <c r="M414" s="8"/>
      <c r="N414" s="45" t="s">
        <v>22</v>
      </c>
      <c r="O414" s="97"/>
      <c r="P414" s="36"/>
      <c r="Q414" s="35"/>
      <c r="R414" s="68"/>
      <c r="S414" s="68"/>
      <c r="T414" s="68"/>
      <c r="U414" s="35"/>
      <c r="V414" s="35"/>
      <c r="W414" s="35"/>
      <c r="X414" s="35"/>
      <c r="Y414" s="35"/>
      <c r="Z414" s="35"/>
      <c r="AA414" s="35"/>
      <c r="AB414" s="35"/>
      <c r="AC414" s="60"/>
      <c r="AD414" s="85"/>
      <c r="AE414" s="85"/>
      <c r="AF414" s="85"/>
      <c r="AG414" s="85"/>
      <c r="AH414" s="85"/>
      <c r="AI414" s="85"/>
      <c r="AJ414" s="85"/>
      <c r="AK414" s="85"/>
      <c r="AL414" s="85"/>
      <c r="AM414" s="85"/>
      <c r="AN414" s="85"/>
      <c r="AO414" s="85"/>
      <c r="AP414" s="85"/>
    </row>
    <row r="415" ht="60.0" customHeight="1">
      <c r="A415" s="29"/>
      <c r="B415" s="38" t="s">
        <v>1186</v>
      </c>
      <c r="C415" s="39" t="s">
        <v>1228</v>
      </c>
      <c r="D415" s="40" t="s">
        <v>1221</v>
      </c>
      <c r="E415" s="40" t="s">
        <v>1189</v>
      </c>
      <c r="F415" s="40" t="s">
        <v>623</v>
      </c>
      <c r="G415" s="39" t="s">
        <v>18</v>
      </c>
      <c r="H415" s="41" t="s">
        <v>19</v>
      </c>
      <c r="I415" s="48" t="s">
        <v>1229</v>
      </c>
      <c r="J415" s="42" t="str">
        <f>IFERROR(__xludf.DUMMYFUNCTION("GOOGLETRANSLATE(I415,""en"",""pl"")"),"Kamera zewnętrzna typu bullet z serii HD+ o rozdzielczości 2 MP, Full HD (1080p) i 30 kl./s z podczerwienią, AHD/TVI/CVI/CVBS, obiektyw stałoogniskowy (4 mm), prawdziwy WDR 120 dB, tryb dzień/noc (ICR), 12 V prądu stałego, zasięg podczerwieni 30 m, IP66/I"&amp;"K10")</f>
        <v>Kamera zewnętrzna typu bullet z serii HD+ o rozdzielczości 2 MP, Full HD (1080p) i 30 kl./s z podczerwienią, AHD/TVI/CVI/CVBS, obiektyw stałoogniskowy (4 mm), prawdziwy WDR 120 dB, tryb dzień/noc (ICR), 12 V prądu stałego, zasięg podczerwieni 30 m, IP66/IK10</v>
      </c>
      <c r="K415" s="43" t="s">
        <v>21</v>
      </c>
      <c r="L415" s="44">
        <v>184.0</v>
      </c>
      <c r="M415" s="8"/>
      <c r="N415" s="45" t="s">
        <v>22</v>
      </c>
      <c r="O415" s="97"/>
      <c r="P415" s="36"/>
      <c r="Q415" s="35"/>
      <c r="R415" s="68"/>
      <c r="S415" s="68"/>
      <c r="T415" s="68"/>
      <c r="U415" s="35"/>
      <c r="V415" s="35"/>
      <c r="W415" s="35"/>
      <c r="X415" s="35"/>
      <c r="Y415" s="35"/>
      <c r="Z415" s="35"/>
      <c r="AA415" s="35"/>
      <c r="AB415" s="35"/>
      <c r="AC415" s="60"/>
      <c r="AD415" s="85"/>
      <c r="AE415" s="85"/>
      <c r="AF415" s="85"/>
      <c r="AG415" s="85"/>
      <c r="AH415" s="85"/>
      <c r="AI415" s="85"/>
      <c r="AJ415" s="85"/>
      <c r="AK415" s="85"/>
      <c r="AL415" s="85"/>
      <c r="AM415" s="85"/>
      <c r="AN415" s="85"/>
      <c r="AO415" s="85"/>
      <c r="AP415" s="85"/>
    </row>
    <row r="416" ht="60.0" customHeight="1">
      <c r="A416" s="29"/>
      <c r="B416" s="38" t="s">
        <v>1186</v>
      </c>
      <c r="C416" s="39" t="s">
        <v>1230</v>
      </c>
      <c r="D416" s="40" t="s">
        <v>1231</v>
      </c>
      <c r="E416" s="40" t="s">
        <v>1189</v>
      </c>
      <c r="F416" s="40" t="s">
        <v>623</v>
      </c>
      <c r="G416" s="39" t="s">
        <v>184</v>
      </c>
      <c r="H416" s="41" t="s">
        <v>19</v>
      </c>
      <c r="I416" s="48" t="s">
        <v>1232</v>
      </c>
      <c r="J416" s="42" t="str">
        <f>IFERROR(__xludf.DUMMYFUNCTION("GOOGLETRANSLATE(I416,""en"",""pl"")"),"Kamera kopułkowa zewnętrzna z serii HD+ o rozdzielczości 2 MP i rozdzielczości Full HD (1080p) z 30 klatkami na sekundę i podczerwienią, AHD/TVI/CVI/CVBS, obiektyw zmiennoogniskowy z napędem silnikowym (3,1X) (3,2–10 mm), prawdziwy WDR 120 dB, tryb dzień/"&amp;"noc (ICR), 24 V AC/12 V DC, zasięg podczerwieni 30 m, IP66/IK10")</f>
        <v>Kamera kopułkowa zewnętrzna z serii HD+ o rozdzielczości 2 MP i rozdzielczości Full HD (1080p) z 30 klatkami na sekundę i podczerwienią, AHD/TVI/CVI/CVBS, obiektyw zmiennoogniskowy z napędem silnikowym (3,1X) (3,2–10 mm), prawdziwy WDR 120 dB, tryb dzień/noc (ICR), 24 V AC/12 V DC, zasięg podczerwieni 30 m, IP66/IK10</v>
      </c>
      <c r="K416" s="43" t="s">
        <v>21</v>
      </c>
      <c r="L416" s="44">
        <v>304.0</v>
      </c>
      <c r="M416" s="8"/>
      <c r="N416" s="45" t="s">
        <v>22</v>
      </c>
      <c r="O416" s="97"/>
      <c r="P416" s="36"/>
      <c r="Q416" s="35"/>
      <c r="R416" s="68"/>
      <c r="S416" s="68"/>
      <c r="T416" s="68"/>
      <c r="U416" s="35"/>
      <c r="V416" s="35"/>
      <c r="W416" s="35"/>
      <c r="X416" s="35"/>
      <c r="Y416" s="35"/>
      <c r="Z416" s="35"/>
      <c r="AA416" s="35"/>
      <c r="AB416" s="35"/>
      <c r="AC416" s="60"/>
      <c r="AD416" s="85"/>
      <c r="AE416" s="85"/>
      <c r="AF416" s="85"/>
      <c r="AG416" s="85"/>
      <c r="AH416" s="85"/>
      <c r="AI416" s="85"/>
      <c r="AJ416" s="85"/>
      <c r="AK416" s="85"/>
      <c r="AL416" s="85"/>
      <c r="AM416" s="85"/>
      <c r="AN416" s="85"/>
      <c r="AO416" s="85"/>
      <c r="AP416" s="85"/>
    </row>
    <row r="417" ht="60.0" customHeight="1">
      <c r="A417" s="29"/>
      <c r="B417" s="38" t="s">
        <v>1186</v>
      </c>
      <c r="C417" s="39" t="s">
        <v>1233</v>
      </c>
      <c r="D417" s="40" t="s">
        <v>1234</v>
      </c>
      <c r="E417" s="40" t="s">
        <v>1189</v>
      </c>
      <c r="F417" s="40" t="s">
        <v>623</v>
      </c>
      <c r="G417" s="39" t="s">
        <v>184</v>
      </c>
      <c r="H417" s="41" t="s">
        <v>19</v>
      </c>
      <c r="I417" s="48" t="s">
        <v>1235</v>
      </c>
      <c r="J417" s="42" t="str">
        <f>IFERROR(__xludf.DUMMYFUNCTION("GOOGLETRANSLATE(I417,""en"",""pl"")"),"Kamera kopułkowa zewnętrzna z serii HD+ o rozdzielczości 2 MP, Full HD (1080p) i 30 kl./s, AHD/TVI/CVI/CVBS, obiektyw zmiennoogniskowy z napędem silnikowym (3,1X) (3,2–10 mm), prawdziwy WDR 120 dB, tryb dzień/noc (ICR), 24 V AC/12 V DC, IP66/IK10")</f>
        <v>Kamera kopułkowa zewnętrzna z serii HD+ o rozdzielczości 2 MP, Full HD (1080p) i 30 kl./s, AHD/TVI/CVI/CVBS, obiektyw zmiennoogniskowy z napędem silnikowym (3,1X) (3,2–10 mm), prawdziwy WDR 120 dB, tryb dzień/noc (ICR), 24 V AC/12 V DC, IP66/IK10</v>
      </c>
      <c r="K417" s="43" t="s">
        <v>21</v>
      </c>
      <c r="L417" s="44">
        <v>280.0</v>
      </c>
      <c r="M417" s="8"/>
      <c r="N417" s="45" t="s">
        <v>22</v>
      </c>
      <c r="O417" s="97"/>
      <c r="P417" s="36"/>
      <c r="Q417" s="35"/>
      <c r="R417" s="68"/>
      <c r="S417" s="68"/>
      <c r="T417" s="68"/>
      <c r="U417" s="35"/>
      <c r="V417" s="35"/>
      <c r="W417" s="35"/>
      <c r="X417" s="35"/>
      <c r="Y417" s="35"/>
      <c r="Z417" s="35"/>
      <c r="AA417" s="35"/>
      <c r="AB417" s="35"/>
      <c r="AC417" s="60"/>
      <c r="AD417" s="85"/>
      <c r="AE417" s="85"/>
      <c r="AF417" s="85"/>
      <c r="AG417" s="85"/>
      <c r="AH417" s="85"/>
      <c r="AI417" s="85"/>
      <c r="AJ417" s="85"/>
      <c r="AK417" s="85"/>
      <c r="AL417" s="85"/>
      <c r="AM417" s="85"/>
      <c r="AN417" s="85"/>
      <c r="AO417" s="85"/>
      <c r="AP417" s="85"/>
    </row>
    <row r="418" ht="60.0" customHeight="1">
      <c r="A418" s="29"/>
      <c r="B418" s="38" t="s">
        <v>1186</v>
      </c>
      <c r="C418" s="39" t="s">
        <v>1236</v>
      </c>
      <c r="D418" s="40" t="s">
        <v>1231</v>
      </c>
      <c r="E418" s="40" t="s">
        <v>1189</v>
      </c>
      <c r="F418" s="40" t="s">
        <v>623</v>
      </c>
      <c r="G418" s="39" t="s">
        <v>184</v>
      </c>
      <c r="H418" s="41" t="s">
        <v>19</v>
      </c>
      <c r="I418" s="48" t="s">
        <v>1237</v>
      </c>
      <c r="J418" s="42" t="str">
        <f>IFERROR(__xludf.DUMMYFUNCTION("GOOGLETRANSLATE(I418,""en"",""pl"")"),"Kamera kopułkowa zewnętrzna z serii HD+ 2MP, Full HD (1080p) 30 kl./s IR, AHD/TVI/CVI/CVBS, obiektyw z manualną regulacją ogniskowej (3,1X) (3,2–10 mm), prawdziwy WDR 120 dB, tryb dzień/noc (ICR), 24 V AC/12 V DC, zasięg podczerwieni 30 m, IP66/IK10")</f>
        <v>Kamera kopułkowa zewnętrzna z serii HD+ 2MP, Full HD (1080p) 30 kl./s IR, AHD/TVI/CVI/CVBS, obiektyw z manualną regulacją ogniskowej (3,1X) (3,2–10 mm), prawdziwy WDR 120 dB, tryb dzień/noc (ICR), 24 V AC/12 V DC, zasięg podczerwieni 30 m, IP66/IK10</v>
      </c>
      <c r="K418" s="43" t="s">
        <v>21</v>
      </c>
      <c r="L418" s="44">
        <v>276.0</v>
      </c>
      <c r="M418" s="8"/>
      <c r="N418" s="45" t="s">
        <v>22</v>
      </c>
      <c r="O418" s="97"/>
      <c r="P418" s="36"/>
      <c r="Q418" s="35"/>
      <c r="R418" s="68"/>
      <c r="S418" s="68"/>
      <c r="T418" s="68"/>
      <c r="U418" s="35"/>
      <c r="V418" s="35"/>
      <c r="W418" s="35"/>
      <c r="X418" s="35"/>
      <c r="Y418" s="35"/>
      <c r="Z418" s="35"/>
      <c r="AA418" s="35"/>
      <c r="AB418" s="35"/>
      <c r="AC418" s="60"/>
      <c r="AD418" s="85"/>
      <c r="AE418" s="85"/>
      <c r="AF418" s="85"/>
      <c r="AG418" s="85"/>
      <c r="AH418" s="85"/>
      <c r="AI418" s="85"/>
      <c r="AJ418" s="85"/>
      <c r="AK418" s="85"/>
      <c r="AL418" s="85"/>
      <c r="AM418" s="85"/>
      <c r="AN418" s="85"/>
      <c r="AO418" s="85"/>
      <c r="AP418" s="85"/>
    </row>
    <row r="419" ht="60.0" customHeight="1">
      <c r="A419" s="29"/>
      <c r="B419" s="38" t="s">
        <v>1186</v>
      </c>
      <c r="C419" s="39" t="s">
        <v>1238</v>
      </c>
      <c r="D419" s="40" t="s">
        <v>1239</v>
      </c>
      <c r="E419" s="40" t="s">
        <v>1189</v>
      </c>
      <c r="F419" s="40" t="s">
        <v>623</v>
      </c>
      <c r="G419" s="39" t="s">
        <v>192</v>
      </c>
      <c r="H419" s="41" t="s">
        <v>19</v>
      </c>
      <c r="I419" s="48" t="s">
        <v>1240</v>
      </c>
      <c r="J419" s="42" t="str">
        <f>IFERROR(__xludf.DUMMYFUNCTION("GOOGLETRANSLATE(I419,""en"",""pl"")"),"Kamera kopułkowa wewnętrzna z serii HD+ o rozdzielczości 2 MP i rozdzielczości Full HD (1080p) i rozdzielczości 30 kl./s z podczerwienią, AHD/TVI/CVI/CVBS, z obiektywem zmiennoogniskowym z napędem silnikowym (3,1X) (3,2–10 mm), prawdziwy WDR 120 dB, tryb "&amp;"dzień/noc (ICR), 24 V AC/12 V DC, zasięg podczerwieni 20 m")</f>
        <v>Kamera kopułkowa wewnętrzna z serii HD+ o rozdzielczości 2 MP i rozdzielczości Full HD (1080p) i rozdzielczości 30 kl./s z podczerwienią, AHD/TVI/CVI/CVBS, z obiektywem zmiennoogniskowym z napędem silnikowym (3,1X) (3,2–10 mm), prawdziwy WDR 120 dB, tryb dzień/noc (ICR), 24 V AC/12 V DC, zasięg podczerwieni 20 m</v>
      </c>
      <c r="K419" s="43" t="s">
        <v>21</v>
      </c>
      <c r="L419" s="44">
        <v>274.0</v>
      </c>
      <c r="M419" s="8"/>
      <c r="N419" s="45" t="s">
        <v>22</v>
      </c>
      <c r="O419" s="97"/>
      <c r="P419" s="36"/>
      <c r="Q419" s="35"/>
      <c r="R419" s="68"/>
      <c r="S419" s="68"/>
      <c r="T419" s="68"/>
      <c r="U419" s="35"/>
      <c r="V419" s="35"/>
      <c r="W419" s="35"/>
      <c r="X419" s="35"/>
      <c r="Y419" s="35"/>
      <c r="Z419" s="35"/>
      <c r="AA419" s="35"/>
      <c r="AB419" s="35"/>
      <c r="AC419" s="60"/>
      <c r="AD419" s="85"/>
      <c r="AE419" s="85"/>
      <c r="AF419" s="85"/>
      <c r="AG419" s="85"/>
      <c r="AH419" s="85"/>
      <c r="AI419" s="85"/>
      <c r="AJ419" s="85"/>
      <c r="AK419" s="85"/>
      <c r="AL419" s="85"/>
      <c r="AM419" s="85"/>
      <c r="AN419" s="85"/>
      <c r="AO419" s="85"/>
      <c r="AP419" s="85"/>
    </row>
    <row r="420" ht="60.0" customHeight="1">
      <c r="A420" s="29"/>
      <c r="B420" s="38" t="s">
        <v>1186</v>
      </c>
      <c r="C420" s="39" t="s">
        <v>1241</v>
      </c>
      <c r="D420" s="40" t="s">
        <v>1239</v>
      </c>
      <c r="E420" s="40" t="s">
        <v>1189</v>
      </c>
      <c r="F420" s="40" t="s">
        <v>623</v>
      </c>
      <c r="G420" s="39" t="s">
        <v>192</v>
      </c>
      <c r="H420" s="41" t="s">
        <v>19</v>
      </c>
      <c r="I420" s="48" t="s">
        <v>1242</v>
      </c>
      <c r="J420" s="42" t="str">
        <f>IFERROR(__xludf.DUMMYFUNCTION("GOOGLETRANSLATE(I420,""en"",""pl"")"),"Kamera kopułkowa wewnętrzna z serii HD+ 2MP, Full HD (1080p) 30 kl./s IR, AHD/TVI/CVI/CVBS, obiektyw z manualną regulacją ogniskowej (3,1X) (3,2–10 mm), prawdziwy WDR 120 dB, tryb dzień/noc (ICR), 24 V AC/12 V DC, zasięg podczerwieni 20 m")</f>
        <v>Kamera kopułkowa wewnętrzna z serii HD+ 2MP, Full HD (1080p) 30 kl./s IR, AHD/TVI/CVI/CVBS, obiektyw z manualną regulacją ogniskowej (3,1X) (3,2–10 mm), prawdziwy WDR 120 dB, tryb dzień/noc (ICR), 24 V AC/12 V DC, zasięg podczerwieni 20 m</v>
      </c>
      <c r="K420" s="43" t="s">
        <v>21</v>
      </c>
      <c r="L420" s="44">
        <v>248.0</v>
      </c>
      <c r="M420" s="8"/>
      <c r="N420" s="45" t="s">
        <v>22</v>
      </c>
      <c r="O420" s="97"/>
      <c r="P420" s="36"/>
      <c r="Q420" s="35"/>
      <c r="R420" s="68"/>
      <c r="S420" s="68"/>
      <c r="T420" s="68"/>
      <c r="U420" s="35"/>
      <c r="V420" s="35"/>
      <c r="W420" s="35"/>
      <c r="X420" s="35"/>
      <c r="Y420" s="35"/>
      <c r="Z420" s="35"/>
      <c r="AA420" s="35"/>
      <c r="AB420" s="35"/>
      <c r="AC420" s="60"/>
      <c r="AD420" s="85"/>
      <c r="AE420" s="85"/>
      <c r="AF420" s="85"/>
      <c r="AG420" s="85"/>
      <c r="AH420" s="85"/>
      <c r="AI420" s="85"/>
      <c r="AJ420" s="85"/>
      <c r="AK420" s="85"/>
      <c r="AL420" s="85"/>
      <c r="AM420" s="85"/>
      <c r="AN420" s="85"/>
      <c r="AO420" s="85"/>
      <c r="AP420" s="85"/>
    </row>
    <row r="421" ht="60.0" customHeight="1">
      <c r="A421" s="29"/>
      <c r="B421" s="38" t="s">
        <v>1186</v>
      </c>
      <c r="C421" s="39" t="s">
        <v>1243</v>
      </c>
      <c r="D421" s="40" t="s">
        <v>1244</v>
      </c>
      <c r="E421" s="40" t="s">
        <v>1189</v>
      </c>
      <c r="F421" s="40" t="s">
        <v>623</v>
      </c>
      <c r="G421" s="39" t="s">
        <v>192</v>
      </c>
      <c r="H421" s="41" t="s">
        <v>19</v>
      </c>
      <c r="I421" s="48" t="s">
        <v>1245</v>
      </c>
      <c r="J421" s="42" t="str">
        <f>IFERROR(__xludf.DUMMYFUNCTION("GOOGLETRANSLATE(I421,""en"",""pl"")"),"Kamera kopułkowa wewnętrzna z serii HD+ 2 MP, Full HD (1080p) 30 kl./s IR, AHD/TVI/CVI/CVBS, obiektyw stałoogniskowy 2,8 mm, prawdziwy WDR 120 dB, tryb dzień/noc (ICR), 12 V prądu stałego")</f>
        <v>Kamera kopułkowa wewnętrzna z serii HD+ 2 MP, Full HD (1080p) 30 kl./s IR, AHD/TVI/CVI/CVBS, obiektyw stałoogniskowy 2,8 mm, prawdziwy WDR 120 dB, tryb dzień/noc (ICR), 12 V prądu stałego</v>
      </c>
      <c r="K421" s="43" t="s">
        <v>21</v>
      </c>
      <c r="L421" s="44">
        <v>133.33</v>
      </c>
      <c r="M421" s="8"/>
      <c r="N421" s="45" t="s">
        <v>22</v>
      </c>
      <c r="O421" s="97"/>
      <c r="P421" s="36"/>
      <c r="Q421" s="35"/>
      <c r="R421" s="68"/>
      <c r="S421" s="68"/>
      <c r="T421" s="68"/>
      <c r="U421" s="35"/>
      <c r="V421" s="35"/>
      <c r="W421" s="35"/>
      <c r="X421" s="35"/>
      <c r="Y421" s="35"/>
      <c r="Z421" s="35"/>
      <c r="AA421" s="35"/>
      <c r="AB421" s="35"/>
      <c r="AC421" s="60"/>
      <c r="AD421" s="85"/>
      <c r="AE421" s="85"/>
      <c r="AF421" s="85"/>
      <c r="AG421" s="85"/>
      <c r="AH421" s="85"/>
      <c r="AI421" s="85"/>
      <c r="AJ421" s="85"/>
      <c r="AK421" s="85"/>
      <c r="AL421" s="85"/>
      <c r="AM421" s="85"/>
      <c r="AN421" s="85"/>
      <c r="AO421" s="85"/>
      <c r="AP421" s="85"/>
    </row>
    <row r="422" ht="60.0" customHeight="1">
      <c r="A422" s="29"/>
      <c r="B422" s="38" t="s">
        <v>1186</v>
      </c>
      <c r="C422" s="39" t="s">
        <v>1246</v>
      </c>
      <c r="D422" s="40" t="s">
        <v>1239</v>
      </c>
      <c r="E422" s="40" t="s">
        <v>1189</v>
      </c>
      <c r="F422" s="40" t="s">
        <v>623</v>
      </c>
      <c r="G422" s="39" t="s">
        <v>192</v>
      </c>
      <c r="H422" s="41" t="s">
        <v>19</v>
      </c>
      <c r="I422" s="48" t="s">
        <v>1247</v>
      </c>
      <c r="J422" s="42" t="str">
        <f>IFERROR(__xludf.DUMMYFUNCTION("GOOGLETRANSLATE(I422,""en"",""pl"")"),"Kamera kopułkowa wewnętrzna z serii HD+ 2MP, Full HD (1080p) 30 kl./s IR, AHD/TVI/CVI/CVBS, obiektyw stałoogniskowy 4,0 mm, prawdziwy WDR 120 dB, tryb dzień/noc (ICR), 12 V prądu stałego, odległość podczerwieni 20 m")</f>
        <v>Kamera kopułkowa wewnętrzna z serii HD+ 2MP, Full HD (1080p) 30 kl./s IR, AHD/TVI/CVI/CVBS, obiektyw stałoogniskowy 4,0 mm, prawdziwy WDR 120 dB, tryb dzień/noc (ICR), 12 V prądu stałego, odległość podczerwieni 20 m</v>
      </c>
      <c r="K422" s="43" t="s">
        <v>21</v>
      </c>
      <c r="L422" s="44">
        <v>166.0</v>
      </c>
      <c r="M422" s="8"/>
      <c r="N422" s="45" t="s">
        <v>22</v>
      </c>
      <c r="O422" s="97"/>
      <c r="P422" s="36"/>
      <c r="Q422" s="35"/>
      <c r="R422" s="68"/>
      <c r="S422" s="68"/>
      <c r="T422" s="68"/>
      <c r="U422" s="35"/>
      <c r="V422" s="35"/>
      <c r="W422" s="35"/>
      <c r="X422" s="35"/>
      <c r="Y422" s="35"/>
      <c r="Z422" s="35"/>
      <c r="AA422" s="35"/>
      <c r="AB422" s="35"/>
      <c r="AC422" s="60"/>
      <c r="AD422" s="85"/>
      <c r="AE422" s="85"/>
      <c r="AF422" s="85"/>
      <c r="AG422" s="85"/>
      <c r="AH422" s="85"/>
      <c r="AI422" s="85"/>
      <c r="AJ422" s="85"/>
      <c r="AK422" s="85"/>
      <c r="AL422" s="85"/>
      <c r="AM422" s="85"/>
      <c r="AN422" s="85"/>
      <c r="AO422" s="85"/>
      <c r="AP422" s="85"/>
    </row>
    <row r="423" ht="60.0" customHeight="1">
      <c r="A423" s="29"/>
      <c r="B423" s="38" t="s">
        <v>1186</v>
      </c>
      <c r="C423" s="39" t="s">
        <v>1248</v>
      </c>
      <c r="D423" s="40" t="s">
        <v>1249</v>
      </c>
      <c r="E423" s="40" t="s">
        <v>1189</v>
      </c>
      <c r="F423" s="40" t="s">
        <v>623</v>
      </c>
      <c r="G423" s="39" t="s">
        <v>131</v>
      </c>
      <c r="H423" s="41" t="s">
        <v>19</v>
      </c>
      <c r="I423" s="48" t="s">
        <v>1250</v>
      </c>
      <c r="J423" s="42" t="str">
        <f>IFERROR(__xludf.DUMMYFUNCTION("GOOGLETRANSLATE(I423,""en"",""pl"")"),"Kamera analogowa typu box z serii HD+, 2 MP, rozdzielczość Full HD (1080p), proste ustawianie ostrości, AHD/CVBS/RS-485, WDR 120 dB, True Day &amp; Night (ICR), wykrywanie ruchu, zasięg transmisji do 500 m, 24 V AC/12 V DC ※ Obiektyw nie jest dołączony")</f>
        <v>Kamera analogowa typu box z serii HD+, 2 MP, rozdzielczość Full HD (1080p), proste ustawianie ostrości, AHD/CVBS/RS-485, WDR 120 dB, True Day &amp; Night (ICR), wykrywanie ruchu, zasięg transmisji do 500 m, 24 V AC/12 V DC ※ Obiektyw nie jest dołączony</v>
      </c>
      <c r="K423" s="43" t="s">
        <v>21</v>
      </c>
      <c r="L423" s="44">
        <v>198.0</v>
      </c>
      <c r="M423" s="8"/>
      <c r="N423" s="45" t="s">
        <v>22</v>
      </c>
      <c r="O423" s="97"/>
      <c r="P423" s="36"/>
      <c r="Q423" s="35"/>
      <c r="R423" s="68"/>
      <c r="S423" s="68"/>
      <c r="T423" s="68"/>
      <c r="U423" s="35"/>
      <c r="V423" s="35"/>
      <c r="W423" s="35"/>
      <c r="X423" s="35"/>
      <c r="Y423" s="35"/>
      <c r="Z423" s="35"/>
      <c r="AA423" s="35"/>
      <c r="AB423" s="35"/>
      <c r="AC423" s="60"/>
      <c r="AD423" s="85"/>
      <c r="AE423" s="85"/>
      <c r="AF423" s="85"/>
      <c r="AG423" s="85"/>
      <c r="AH423" s="85"/>
      <c r="AI423" s="85"/>
      <c r="AJ423" s="85"/>
      <c r="AK423" s="85"/>
      <c r="AL423" s="85"/>
      <c r="AM423" s="85"/>
      <c r="AN423" s="85"/>
      <c r="AO423" s="85"/>
      <c r="AP423" s="85"/>
    </row>
    <row r="424" ht="60.0" customHeight="1">
      <c r="A424" s="29"/>
      <c r="B424" s="38" t="s">
        <v>1186</v>
      </c>
      <c r="C424" s="39" t="s">
        <v>1251</v>
      </c>
      <c r="D424" s="40" t="s">
        <v>1249</v>
      </c>
      <c r="E424" s="40" t="s">
        <v>1189</v>
      </c>
      <c r="F424" s="40" t="s">
        <v>623</v>
      </c>
      <c r="G424" s="39" t="s">
        <v>131</v>
      </c>
      <c r="H424" s="41" t="s">
        <v>19</v>
      </c>
      <c r="I424" s="48" t="s">
        <v>1252</v>
      </c>
      <c r="J424" s="42" t="str">
        <f>IFERROR(__xludf.DUMMYFUNCTION("GOOGLETRANSLATE(I424,""en"",""pl"")"),"Kamera analogowa typu box z serii HD+, 2 MP, rozdzielczość Full HD (1080p), ręczne ustawianie ostrości, AHD/CVBS/CCP/TCP/RS-485, WDR 120 dB, True Day &amp; Night (ICR), wykrywanie ruchu, zasięg transmisji do 500 m, 24 V AC/12 V DC ※ Obiektyw nie jest dołączon"&amp;"y")</f>
        <v>Kamera analogowa typu box z serii HD+, 2 MP, rozdzielczość Full HD (1080p), ręczne ustawianie ostrości, AHD/CVBS/CCP/TCP/RS-485, WDR 120 dB, True Day &amp; Night (ICR), wykrywanie ruchu, zasięg transmisji do 500 m, 24 V AC/12 V DC ※ Obiektyw nie jest dołączony</v>
      </c>
      <c r="K424" s="43" t="s">
        <v>21</v>
      </c>
      <c r="L424" s="44">
        <v>166.0</v>
      </c>
      <c r="M424" s="8"/>
      <c r="N424" s="45" t="s">
        <v>22</v>
      </c>
      <c r="O424" s="97"/>
      <c r="P424" s="36"/>
      <c r="Q424" s="35"/>
      <c r="R424" s="68"/>
      <c r="S424" s="68"/>
      <c r="T424" s="68"/>
      <c r="U424" s="35"/>
      <c r="V424" s="35"/>
      <c r="W424" s="35"/>
      <c r="X424" s="35"/>
      <c r="Y424" s="35"/>
      <c r="Z424" s="35"/>
      <c r="AA424" s="35"/>
      <c r="AB424" s="35"/>
      <c r="AC424" s="60"/>
      <c r="AD424" s="85"/>
      <c r="AE424" s="85"/>
      <c r="AF424" s="85"/>
      <c r="AG424" s="85"/>
      <c r="AH424" s="85"/>
      <c r="AI424" s="85"/>
      <c r="AJ424" s="85"/>
      <c r="AK424" s="85"/>
      <c r="AL424" s="85"/>
      <c r="AM424" s="85"/>
      <c r="AN424" s="85"/>
      <c r="AO424" s="85"/>
      <c r="AP424" s="85"/>
    </row>
    <row r="425" ht="60.0" customHeight="1">
      <c r="A425" s="29"/>
      <c r="B425" s="102" t="s">
        <v>1186</v>
      </c>
      <c r="C425" s="103" t="s">
        <v>1253</v>
      </c>
      <c r="D425" s="104" t="s">
        <v>1249</v>
      </c>
      <c r="E425" s="104" t="s">
        <v>1189</v>
      </c>
      <c r="F425" s="104" t="s">
        <v>623</v>
      </c>
      <c r="G425" s="103" t="s">
        <v>131</v>
      </c>
      <c r="H425" s="105" t="s">
        <v>19</v>
      </c>
      <c r="I425" s="106" t="s">
        <v>1254</v>
      </c>
      <c r="J425" s="42" t="str">
        <f>IFERROR(__xludf.DUMMYFUNCTION("GOOGLETRANSLATE(I425,""en"",""pl"")"),"Kamera analogowa typu box z serii HD+, 2 MP, rozdzielczość Full HD (1080p), ręczne ustawianie ostrości, AHD/CVBS/CCP/TCP/RS-485, WDR 120 dB, True Day &amp; Night (ICR), wykrywanie ruchu, zasięg transmisji do 500 m, 220 V AC ※ Obiektyw nie jest dołączony")</f>
        <v>Kamera analogowa typu box z serii HD+, 2 MP, rozdzielczość Full HD (1080p), ręczne ustawianie ostrości, AHD/CVBS/CCP/TCP/RS-485, WDR 120 dB, True Day &amp; Night (ICR), wykrywanie ruchu, zasięg transmisji do 500 m, 220 V AC ※ Obiektyw nie jest dołączony</v>
      </c>
      <c r="K425" s="43" t="s">
        <v>21</v>
      </c>
      <c r="L425" s="44">
        <v>194.0</v>
      </c>
      <c r="M425" s="8"/>
      <c r="N425" s="45" t="s">
        <v>22</v>
      </c>
      <c r="O425" s="97"/>
      <c r="P425" s="36"/>
      <c r="Q425" s="35"/>
      <c r="R425" s="68"/>
      <c r="S425" s="68"/>
      <c r="T425" s="68"/>
      <c r="U425" s="35"/>
      <c r="V425" s="35"/>
      <c r="W425" s="35"/>
      <c r="X425" s="35"/>
      <c r="Y425" s="35"/>
      <c r="Z425" s="35"/>
      <c r="AA425" s="35"/>
      <c r="AB425" s="35"/>
      <c r="AC425" s="60"/>
      <c r="AD425" s="85"/>
      <c r="AE425" s="85"/>
      <c r="AF425" s="85"/>
      <c r="AG425" s="85"/>
      <c r="AH425" s="85"/>
      <c r="AI425" s="85"/>
      <c r="AJ425" s="85"/>
      <c r="AK425" s="85"/>
      <c r="AL425" s="85"/>
      <c r="AM425" s="85"/>
      <c r="AN425" s="85"/>
      <c r="AO425" s="85"/>
      <c r="AP425" s="85"/>
    </row>
    <row r="426" ht="30.0" customHeight="1">
      <c r="A426" s="29"/>
      <c r="B426" s="129" t="s">
        <v>1255</v>
      </c>
      <c r="C426" s="113"/>
      <c r="D426" s="113"/>
      <c r="E426" s="113"/>
      <c r="F426" s="113"/>
      <c r="G426" s="113"/>
      <c r="H426" s="113"/>
      <c r="I426" s="113"/>
      <c r="J426" s="42" t="str">
        <f>IFERROR(__xludf.DUMMYFUNCTION("GOOGLETRANSLATE(I426,""en"",""pl"")"),"#VALUE!")</f>
        <v>#VALUE!</v>
      </c>
      <c r="K426" s="113"/>
      <c r="L426" s="114"/>
      <c r="M426" s="115"/>
      <c r="N426" s="96"/>
      <c r="O426" s="83"/>
      <c r="P426" s="36"/>
      <c r="Q426" s="35"/>
      <c r="R426" s="68"/>
      <c r="S426" s="68"/>
      <c r="T426" s="68"/>
      <c r="U426" s="35"/>
      <c r="V426" s="35"/>
      <c r="W426" s="35"/>
      <c r="X426" s="35"/>
      <c r="Y426" s="35"/>
      <c r="Z426" s="35"/>
      <c r="AA426" s="35"/>
      <c r="AB426" s="35"/>
      <c r="AC426" s="60"/>
      <c r="AD426" s="85"/>
      <c r="AE426" s="85"/>
      <c r="AF426" s="85"/>
      <c r="AG426" s="85"/>
      <c r="AH426" s="85"/>
      <c r="AI426" s="85"/>
      <c r="AJ426" s="85"/>
      <c r="AK426" s="85"/>
      <c r="AL426" s="85"/>
      <c r="AM426" s="85"/>
      <c r="AN426" s="85"/>
      <c r="AO426" s="85"/>
      <c r="AP426" s="85"/>
    </row>
    <row r="427" ht="84.75" customHeight="1">
      <c r="A427" s="29"/>
      <c r="B427" s="38" t="s">
        <v>1256</v>
      </c>
      <c r="C427" s="39" t="s">
        <v>1257</v>
      </c>
      <c r="D427" s="40" t="s">
        <v>1258</v>
      </c>
      <c r="E427" s="40"/>
      <c r="F427" s="40" t="s">
        <v>1083</v>
      </c>
      <c r="G427" s="39" t="s">
        <v>1259</v>
      </c>
      <c r="H427" s="41" t="s">
        <v>170</v>
      </c>
      <c r="I427" s="48" t="s">
        <v>1260</v>
      </c>
      <c r="J427" s="42" t="str">
        <f>IFERROR(__xludf.DUMMYFUNCTION("GOOGLETRANSLATE(I427,""en"",""pl"")"),"5 w 1 8CH + 2CH (do 10CH NW) Wbudowany DVR, analogowy HD (maks. 8MP), TVI (maks. 8MP), CVI (maks. 5MP), CVBS, IP (maks. 8MP), potrójny kodek H.265/H.264/MJPEG, maks. przepustowość nagrywania 50 Mb/s / maks. przepustowość odtwarzania 32 Mb/s, do 4 wewnętrz"&amp;"nych dysków twardych SATA (maks. 24 TB), 8-kanałowe wejście audio / 1-kanałowe wyjście audio, kabel koncentryczny (Pelco-C), lokalny podwójny monitor HDMI/VGA, SUNAPI, ONVIF, łatwa konfiguracja (kreator konfiguracji, P2P), obsługa smartfonów (iOS i Androi"&amp;"d), dysk twardy nie jest dołączony")</f>
        <v>5 w 1 8CH + 2CH (do 10CH NW) Wbudowany DVR, analogowy HD (maks. 8MP), TVI (maks. 8MP), CVI (maks. 5MP), CVBS, IP (maks. 8MP), potrójny kodek H.265/H.264/MJPEG, maks. przepustowość nagrywania 50 Mb/s / maks. przepustowość odtwarzania 32 Mb/s, do 4 wewnętrznych dysków twardych SATA (maks. 24 TB), 8-kanałowe wejście audio / 1-kanałowe wyjście audio, kabel koncentryczny (Pelco-C), lokalny podwójny monitor HDMI/VGA, SUNAPI, ONVIF, łatwa konfiguracja (kreator konfiguracji, P2P), obsługa smartfonów (iOS i Android), dysk twardy nie jest dołączony</v>
      </c>
      <c r="K427" s="43" t="s">
        <v>21</v>
      </c>
      <c r="L427" s="44">
        <v>880.0</v>
      </c>
      <c r="M427" s="8"/>
      <c r="N427" s="45" t="s">
        <v>22</v>
      </c>
      <c r="O427" s="97"/>
      <c r="P427" s="36"/>
      <c r="Q427" s="35"/>
      <c r="R427" s="68"/>
      <c r="S427" s="68"/>
      <c r="T427" s="68"/>
      <c r="U427" s="35"/>
      <c r="V427" s="35"/>
      <c r="W427" s="35"/>
      <c r="X427" s="35"/>
      <c r="Y427" s="35"/>
      <c r="Z427" s="35"/>
      <c r="AA427" s="35"/>
      <c r="AB427" s="35"/>
      <c r="AC427" s="60"/>
      <c r="AD427" s="85"/>
      <c r="AE427" s="85"/>
      <c r="AF427" s="85"/>
      <c r="AG427" s="85"/>
      <c r="AH427" s="85"/>
      <c r="AI427" s="85"/>
      <c r="AJ427" s="85"/>
      <c r="AK427" s="85"/>
      <c r="AL427" s="85"/>
      <c r="AM427" s="85"/>
      <c r="AN427" s="85"/>
      <c r="AO427" s="85"/>
      <c r="AP427" s="85"/>
    </row>
    <row r="428" ht="84.75" customHeight="1">
      <c r="A428" s="29"/>
      <c r="B428" s="38" t="s">
        <v>1256</v>
      </c>
      <c r="C428" s="39" t="s">
        <v>1261</v>
      </c>
      <c r="D428" s="40" t="s">
        <v>1262</v>
      </c>
      <c r="E428" s="40"/>
      <c r="F428" s="40" t="s">
        <v>1083</v>
      </c>
      <c r="G428" s="39" t="s">
        <v>1259</v>
      </c>
      <c r="H428" s="41" t="s">
        <v>170</v>
      </c>
      <c r="I428" s="48" t="s">
        <v>1263</v>
      </c>
      <c r="J428" s="42" t="str">
        <f>IFERROR(__xludf.DUMMYFUNCTION("GOOGLETRANSLATE(I428,""en"",""pl"")"),"5 w 1 8CH + 2CH (do 10CH NW) Wbudowany DVR, analogowy HD (maks. 8MP), TVI (maks. 8MP), CVI (maks. 5MP), CVBS, IP (maks. 8MP), potrójny kodek H.265/H.264/MJPEG, maks. przepustowość nagrywania 50 Mb/s / maks. przepustowość odtwarzania 32 Mb/s, do 4 wewnętrz"&amp;"nych dysków twardych SATA (maks. 24 TB), 8-kanałowe wejście audio / 1-kanałowe wyjście audio, kabel koncentryczny (Pelco-C), podwójny lokalny monitor HDMI/VGA, SUNAPI, ONVIF, łatwa konfiguracja (kreator konfiguracji, P2P), obsługa smartfonów (iOS i Androi"&amp;"d), dołączony dysk twardy Seagate SkyHawk o pojemności 4 TB (ST4000VX016)")</f>
        <v>5 w 1 8CH + 2CH (do 10CH NW) Wbudowany DVR, analogowy HD (maks. 8MP), TVI (maks. 8MP), CVI (maks. 5MP), CVBS, IP (maks. 8MP), potrójny kodek H.265/H.264/MJPEG, maks. przepustowość nagrywania 50 Mb/s / maks. przepustowość odtwarzania 32 Mb/s, do 4 wewnętrznych dysków twardych SATA (maks. 24 TB), 8-kanałowe wejście audio / 1-kanałowe wyjście audio, kabel koncentryczny (Pelco-C), podwójny lokalny monitor HDMI/VGA, SUNAPI, ONVIF, łatwa konfiguracja (kreator konfiguracji, P2P), obsługa smartfonów (iOS i Android), dołączony dysk twardy Seagate SkyHawk o pojemności 4 TB (ST4000VX016)</v>
      </c>
      <c r="K428" s="43" t="s">
        <v>21</v>
      </c>
      <c r="L428" s="44">
        <v>1093.0</v>
      </c>
      <c r="M428" s="8"/>
      <c r="N428" s="45" t="s">
        <v>22</v>
      </c>
      <c r="O428" s="97"/>
      <c r="P428" s="36"/>
      <c r="Q428" s="35"/>
      <c r="R428" s="68"/>
      <c r="S428" s="68"/>
      <c r="T428" s="68"/>
      <c r="U428" s="35"/>
      <c r="V428" s="35"/>
      <c r="W428" s="35"/>
      <c r="X428" s="35"/>
      <c r="Y428" s="35"/>
      <c r="Z428" s="35"/>
      <c r="AA428" s="35"/>
      <c r="AB428" s="35"/>
      <c r="AC428" s="60"/>
      <c r="AD428" s="85"/>
      <c r="AE428" s="85"/>
      <c r="AF428" s="85"/>
      <c r="AG428" s="85"/>
      <c r="AH428" s="85"/>
      <c r="AI428" s="85"/>
      <c r="AJ428" s="85"/>
      <c r="AK428" s="85"/>
      <c r="AL428" s="85"/>
      <c r="AM428" s="85"/>
      <c r="AN428" s="85"/>
      <c r="AO428" s="85"/>
      <c r="AP428" s="85"/>
    </row>
    <row r="429" ht="84.75" customHeight="1">
      <c r="A429" s="29"/>
      <c r="B429" s="38" t="s">
        <v>1256</v>
      </c>
      <c r="C429" s="39" t="s">
        <v>1264</v>
      </c>
      <c r="D429" s="40" t="s">
        <v>1265</v>
      </c>
      <c r="E429" s="40"/>
      <c r="F429" s="40" t="s">
        <v>1083</v>
      </c>
      <c r="G429" s="39" t="s">
        <v>1259</v>
      </c>
      <c r="H429" s="41" t="s">
        <v>170</v>
      </c>
      <c r="I429" s="48" t="s">
        <v>1266</v>
      </c>
      <c r="J429" s="42" t="str">
        <f>IFERROR(__xludf.DUMMYFUNCTION("GOOGLETRANSLATE(I429,""en"",""pl"")"),"5 w 1 8CH + 2CH (do 10CH NW) Wbudowany DVR, analogowy HD (maks. 8MP), TVI (maks. 8MP), CVI (maks. 5MP), CVBS, IP (maks. 8MP), potrójny kodek H.265/H.264/MJPEG, maks. przepustowość nagrywania 50 Mb/s / maks. przepustowość odtwarzania 32 Mb/s, do 4 wewnętrz"&amp;"nych dysków twardych SATA (maks. 24 TB), 8-kanałowe wejście audio / 1-kanałowe wyjście audio, kabel koncentryczny (Pelco-C), podwójny lokalny monitor HDMI/VGA, SUNAPI, ONVIF, łatwa konfiguracja (kreator konfiguracji, P2P), obsługa smartfonów (iOS i Androi"&amp;"d), dołączony dysk twardy Seagate SkyHawk o pojemności 6 TB (ST6000VX009)")</f>
        <v>5 w 1 8CH + 2CH (do 10CH NW) Wbudowany DVR, analogowy HD (maks. 8MP), TVI (maks. 8MP), CVI (maks. 5MP), CVBS, IP (maks. 8MP), potrójny kodek H.265/H.264/MJPEG, maks. przepustowość nagrywania 50 Mb/s / maks. przepustowość odtwarzania 32 Mb/s, do 4 wewnętrznych dysków twardych SATA (maks. 24 TB), 8-kanałowe wejście audio / 1-kanałowe wyjście audio, kabel koncentryczny (Pelco-C), podwójny lokalny monitor HDMI/VGA, SUNAPI, ONVIF, łatwa konfiguracja (kreator konfiguracji, P2P), obsługa smartfonów (iOS i Android), dołączony dysk twardy Seagate SkyHawk o pojemności 6 TB (ST6000VX009)</v>
      </c>
      <c r="K429" s="43" t="s">
        <v>21</v>
      </c>
      <c r="L429" s="44">
        <v>1249.0</v>
      </c>
      <c r="M429" s="8"/>
      <c r="N429" s="45" t="s">
        <v>22</v>
      </c>
      <c r="O429" s="97"/>
      <c r="P429" s="36"/>
      <c r="Q429" s="35"/>
      <c r="R429" s="68"/>
      <c r="S429" s="68"/>
      <c r="T429" s="68"/>
      <c r="U429" s="35"/>
      <c r="V429" s="35"/>
      <c r="W429" s="35"/>
      <c r="X429" s="35"/>
      <c r="Y429" s="35"/>
      <c r="Z429" s="35"/>
      <c r="AA429" s="35"/>
      <c r="AB429" s="35"/>
      <c r="AC429" s="60"/>
      <c r="AD429" s="85"/>
      <c r="AE429" s="85"/>
      <c r="AF429" s="85"/>
      <c r="AG429" s="85"/>
      <c r="AH429" s="85"/>
      <c r="AI429" s="85"/>
      <c r="AJ429" s="85"/>
      <c r="AK429" s="85"/>
      <c r="AL429" s="85"/>
      <c r="AM429" s="85"/>
      <c r="AN429" s="85"/>
      <c r="AO429" s="85"/>
      <c r="AP429" s="85"/>
    </row>
    <row r="430" ht="84.75" customHeight="1">
      <c r="A430" s="29"/>
      <c r="B430" s="38" t="s">
        <v>1256</v>
      </c>
      <c r="C430" s="38" t="s">
        <v>1267</v>
      </c>
      <c r="D430" s="40" t="s">
        <v>1268</v>
      </c>
      <c r="E430" s="40"/>
      <c r="F430" s="40" t="s">
        <v>1051</v>
      </c>
      <c r="G430" s="39" t="s">
        <v>1259</v>
      </c>
      <c r="H430" s="41" t="s">
        <v>170</v>
      </c>
      <c r="I430" s="48" t="s">
        <v>1269</v>
      </c>
      <c r="J430" s="42" t="str">
        <f>IFERROR(__xludf.DUMMYFUNCTION("GOOGLETRANSLATE(I430,""en"",""pl"")"),"5 w 1 16 kanałów (do 18 kanałów NW) Wbudowany rejestrator DVR, analogowy HD (maks. 8 MP), TVI (maks. 8 MP), CVI (maks. 8 MP), CVBS, IP (maks. 8 MP), potrójny kodek H.265/H.264/MJPEG, maks. przepustowość nagrywania 128 Mb/s / maks. przepustowość odtwarzani"&amp;"a 32 Mb/s, do 8 wewnętrznych dysków twardych SATA (maks. 48 TB), 16-kanałowe wejście audio / 1-kanałowe wyjście audio, kabel koncentryczny (Pelco-C), lokalny podwójny monitor HDMI/VGA, SUNAPI, ONVIF, łatwa konfiguracja (kreator konfiguracji, P2P), obsługa"&amp;" smartfonów (iOS i Android), dysk twardy nie jest dołączony")</f>
        <v>5 w 1 16 kanałów (do 18 kanałów NW) Wbudowany rejestrator DVR, analogowy HD (maks. 8 MP), TVI (maks. 8 MP), CVI (maks. 8 MP), CVBS, IP (maks. 8 MP), potrójny kodek H.265/H.264/MJPEG, maks. przepustowość nagrywania 128 Mb/s / maks. przepustowość odtwarzania 32 Mb/s, do 8 wewnętrznych dysków twardych SATA (maks. 48 TB), 16-kanałowe wejście audio / 1-kanałowe wyjście audio, kabel koncentryczny (Pelco-C), lokalny podwójny monitor HDMI/VGA, SUNAPI, ONVIF, łatwa konfiguracja (kreator konfiguracji, P2P), obsługa smartfonów (iOS i Android), dysk twardy nie jest dołączony</v>
      </c>
      <c r="K430" s="43" t="s">
        <v>21</v>
      </c>
      <c r="L430" s="44">
        <v>1110.0</v>
      </c>
      <c r="M430" s="8"/>
      <c r="N430" s="45" t="s">
        <v>22</v>
      </c>
      <c r="O430" s="97"/>
      <c r="P430" s="36"/>
      <c r="Q430" s="35"/>
      <c r="R430" s="68"/>
      <c r="S430" s="68"/>
      <c r="T430" s="68"/>
      <c r="U430" s="35"/>
      <c r="V430" s="35"/>
      <c r="W430" s="35"/>
      <c r="X430" s="35"/>
      <c r="Y430" s="35"/>
      <c r="Z430" s="35"/>
      <c r="AA430" s="35"/>
      <c r="AB430" s="35"/>
      <c r="AC430" s="60"/>
      <c r="AD430" s="85"/>
      <c r="AE430" s="85"/>
      <c r="AF430" s="85"/>
      <c r="AG430" s="85"/>
      <c r="AH430" s="85"/>
      <c r="AI430" s="85"/>
      <c r="AJ430" s="85"/>
      <c r="AK430" s="85"/>
      <c r="AL430" s="85"/>
      <c r="AM430" s="85"/>
      <c r="AN430" s="85"/>
      <c r="AO430" s="85"/>
      <c r="AP430" s="85"/>
    </row>
    <row r="431" ht="84.75" customHeight="1">
      <c r="A431" s="29"/>
      <c r="B431" s="38" t="s">
        <v>1256</v>
      </c>
      <c r="C431" s="38" t="s">
        <v>1270</v>
      </c>
      <c r="D431" s="40" t="s">
        <v>1271</v>
      </c>
      <c r="E431" s="40"/>
      <c r="F431" s="40" t="s">
        <v>1051</v>
      </c>
      <c r="G431" s="39" t="s">
        <v>1259</v>
      </c>
      <c r="H431" s="41" t="s">
        <v>170</v>
      </c>
      <c r="I431" s="48" t="s">
        <v>1272</v>
      </c>
      <c r="J431" s="42" t="str">
        <f>IFERROR(__xludf.DUMMYFUNCTION("GOOGLETRANSLATE(I431,""en"",""pl"")"),"5 w 1 16 kanałów (do 18 kanałów NW) Wbudowany DVR, analogowy HD (maks. 8 MP), TVI (maks. 8 MP), CVI (maks. 8 MP), CVBS, IP (maks. 8 MP), potrójny kodek H.265/H.264/MJPEG, maks. przepustowość nagrywania 128 Mb/s / maks. przepustowość odtwarzania 32 Mb/s, d"&amp;"o 8 wewnętrznych dysków twardych SATA (maks. 48 TB), 16-kanałowe wejście audio / 1-kanałowe wyjście audio, kabel koncentryczny (Pelco-C), podwójny lokalny monitor HDMI/VGA, SUNAPI, ONVIF, łatwa konfiguracja (kreator konfiguracji, P2P), obsługa smartfonów "&amp;"(iOS i Android), dołączony dysk twardy Seagate SkyHawk o pojemności 4 TB (ST4000VX016)")</f>
        <v>5 w 1 16 kanałów (do 18 kanałów NW) Wbudowany DVR, analogowy HD (maks. 8 MP), TVI (maks. 8 MP), CVI (maks. 8 MP), CVBS, IP (maks. 8 MP), potrójny kodek H.265/H.264/MJPEG, maks. przepustowość nagrywania 128 Mb/s / maks. przepustowość odtwarzania 32 Mb/s, do 8 wewnętrznych dysków twardych SATA (maks. 48 TB), 16-kanałowe wejście audio / 1-kanałowe wyjście audio, kabel koncentryczny (Pelco-C), podwójny lokalny monitor HDMI/VGA, SUNAPI, ONVIF, łatwa konfiguracja (kreator konfiguracji, P2P), obsługa smartfonów (iOS i Android), dołączony dysk twardy Seagate SkyHawk o pojemności 4 TB (ST4000VX016)</v>
      </c>
      <c r="K431" s="43" t="s">
        <v>21</v>
      </c>
      <c r="L431" s="44">
        <v>1371.0</v>
      </c>
      <c r="M431" s="8"/>
      <c r="N431" s="45" t="s">
        <v>22</v>
      </c>
      <c r="O431" s="97"/>
      <c r="P431" s="36"/>
      <c r="Q431" s="35"/>
      <c r="R431" s="68"/>
      <c r="S431" s="68"/>
      <c r="T431" s="68"/>
      <c r="U431" s="35"/>
      <c r="V431" s="35"/>
      <c r="W431" s="35"/>
      <c r="X431" s="35"/>
      <c r="Y431" s="35"/>
      <c r="Z431" s="35"/>
      <c r="AA431" s="35"/>
      <c r="AB431" s="35"/>
      <c r="AC431" s="60"/>
      <c r="AD431" s="85"/>
      <c r="AE431" s="85"/>
      <c r="AF431" s="85"/>
      <c r="AG431" s="85"/>
      <c r="AH431" s="85"/>
      <c r="AI431" s="85"/>
      <c r="AJ431" s="85"/>
      <c r="AK431" s="85"/>
      <c r="AL431" s="85"/>
      <c r="AM431" s="85"/>
      <c r="AN431" s="85"/>
      <c r="AO431" s="85"/>
      <c r="AP431" s="85"/>
    </row>
    <row r="432" ht="84.75" customHeight="1">
      <c r="A432" s="29"/>
      <c r="B432" s="38" t="s">
        <v>1256</v>
      </c>
      <c r="C432" s="38" t="s">
        <v>1273</v>
      </c>
      <c r="D432" s="40" t="s">
        <v>1268</v>
      </c>
      <c r="E432" s="40"/>
      <c r="F432" s="40" t="s">
        <v>1051</v>
      </c>
      <c r="G432" s="39" t="s">
        <v>1259</v>
      </c>
      <c r="H432" s="41" t="s">
        <v>170</v>
      </c>
      <c r="I432" s="48" t="s">
        <v>1274</v>
      </c>
      <c r="J432" s="42" t="str">
        <f>IFERROR(__xludf.DUMMYFUNCTION("GOOGLETRANSLATE(I432,""en"",""pl"")"),"5 w 1 16 kanałów (do 18 kanałów NW) Wbudowany rejestrator DVR, analogowy HD (maks. 8 MP), TVI (maks. 8 MP), CVI (maks. 8 MP), CVBS, IP (maks. 8 MP), potrójny kodek H.265/H.264/MJPEG, maks. przepustowość nagrywania 128 Mb/s / maks. przepustowość odtwarzani"&amp;"a 32 Mb/s, do 2 wewnętrznych dysków twardych SATA (maks. 12 TB), 16-kanałowe wejście audio / 1-kanałowe wyjście audio, kabel koncentryczny (Pelco-C), lokalny podwójny monitor HDMI/VGA, SUNAPI, ONVIF, łatwa konfiguracja (kreator konfiguracji, P2P), obsługa"&amp;" smartfonów (iOS i Android), dysk twardy nie jest dołączony")</f>
        <v>5 w 1 16 kanałów (do 18 kanałów NW) Wbudowany rejestrator DVR, analogowy HD (maks. 8 MP), TVI (maks. 8 MP), CVI (maks. 8 MP), CVBS, IP (maks. 8 MP), potrójny kodek H.265/H.264/MJPEG, maks. przepustowość nagrywania 128 Mb/s / maks. przepustowość odtwarzania 32 Mb/s, do 2 wewnętrznych dysków twardych SATA (maks. 12 TB), 16-kanałowe wejście audio / 1-kanałowe wyjście audio, kabel koncentryczny (Pelco-C), lokalny podwójny monitor HDMI/VGA, SUNAPI, ONVIF, łatwa konfiguracja (kreator konfiguracji, P2P), obsługa smartfonów (iOS i Android), dysk twardy nie jest dołączony</v>
      </c>
      <c r="K432" s="43" t="s">
        <v>21</v>
      </c>
      <c r="L432" s="44">
        <v>650.0</v>
      </c>
      <c r="M432" s="8"/>
      <c r="N432" s="45" t="s">
        <v>22</v>
      </c>
      <c r="O432" s="97"/>
      <c r="P432" s="36"/>
      <c r="Q432" s="35"/>
      <c r="R432" s="68"/>
      <c r="S432" s="68"/>
      <c r="T432" s="68"/>
      <c r="U432" s="35"/>
      <c r="V432" s="35"/>
      <c r="W432" s="35"/>
      <c r="X432" s="35"/>
      <c r="Y432" s="35"/>
      <c r="Z432" s="35"/>
      <c r="AA432" s="35"/>
      <c r="AB432" s="35"/>
      <c r="AC432" s="60"/>
      <c r="AD432" s="85"/>
      <c r="AE432" s="85"/>
      <c r="AF432" s="85"/>
      <c r="AG432" s="85"/>
      <c r="AH432" s="85"/>
      <c r="AI432" s="85"/>
      <c r="AJ432" s="85"/>
      <c r="AK432" s="85"/>
      <c r="AL432" s="85"/>
      <c r="AM432" s="85"/>
      <c r="AN432" s="85"/>
      <c r="AO432" s="85"/>
      <c r="AP432" s="85"/>
    </row>
    <row r="433" ht="84.75" customHeight="1">
      <c r="A433" s="29"/>
      <c r="B433" s="38" t="s">
        <v>1256</v>
      </c>
      <c r="C433" s="38" t="s">
        <v>1275</v>
      </c>
      <c r="D433" s="40" t="s">
        <v>1271</v>
      </c>
      <c r="E433" s="40"/>
      <c r="F433" s="40" t="s">
        <v>1051</v>
      </c>
      <c r="G433" s="39" t="s">
        <v>1259</v>
      </c>
      <c r="H433" s="41" t="s">
        <v>170</v>
      </c>
      <c r="I433" s="48" t="s">
        <v>1276</v>
      </c>
      <c r="J433" s="42" t="str">
        <f>IFERROR(__xludf.DUMMYFUNCTION("GOOGLETRANSLATE(I433,""en"",""pl"")"),"5 w 1 16 kanałów (do 18 kanałów NW) Wbudowany DVR, analogowy HD (maks. 8 MP), TVI (maks. 8 MP), CVI (maks. 8 MP), CVBS, IP (maks. 8 MP), potrójny kodek H.265/H.264/MJPEG, maks. przepustowość nagrywania 128 Mb/s / maks. przepustowość odtwarzania 32 Mb/s, d"&amp;"o 2 wewnętrznych dysków twardych SATA (maks. 12 TB), 16-kanałowe wejście audio / 1-kanałowe wyjście audio, kabel koncentryczny (Pelco-C), podwójny lokalny monitor HDMI/VGA, SUNAPI, ONVIF, łatwa konfiguracja (kreator konfiguracji, P2P), obsługa smartfonów "&amp;"(iOS i Android), dołączony dysk twardy Seagate SkyHawk o pojemności 4 TB (ST4000VX016)")</f>
        <v>5 w 1 16 kanałów (do 18 kanałów NW) Wbudowany DVR, analogowy HD (maks. 8 MP), TVI (maks. 8 MP), CVI (maks. 8 MP), CVBS, IP (maks. 8 MP), potrójny kodek H.265/H.264/MJPEG, maks. przepustowość nagrywania 128 Mb/s / maks. przepustowość odtwarzania 32 Mb/s, do 2 wewnętrznych dysków twardych SATA (maks. 12 TB), 16-kanałowe wejście audio / 1-kanałowe wyjście audio, kabel koncentryczny (Pelco-C), podwójny lokalny monitor HDMI/VGA, SUNAPI, ONVIF, łatwa konfiguracja (kreator konfiguracji, P2P), obsługa smartfonów (iOS i Android), dołączony dysk twardy Seagate SkyHawk o pojemności 4 TB (ST4000VX016)</v>
      </c>
      <c r="K433" s="43" t="s">
        <v>21</v>
      </c>
      <c r="L433" s="44">
        <v>911.0</v>
      </c>
      <c r="M433" s="8"/>
      <c r="N433" s="45" t="s">
        <v>22</v>
      </c>
      <c r="O433" s="97"/>
      <c r="P433" s="36"/>
      <c r="Q433" s="35"/>
      <c r="R433" s="68"/>
      <c r="S433" s="68"/>
      <c r="T433" s="68"/>
      <c r="U433" s="35"/>
      <c r="V433" s="35"/>
      <c r="W433" s="35"/>
      <c r="X433" s="35"/>
      <c r="Y433" s="35"/>
      <c r="Z433" s="35"/>
      <c r="AA433" s="35"/>
      <c r="AB433" s="35"/>
      <c r="AC433" s="60"/>
      <c r="AD433" s="85"/>
      <c r="AE433" s="85"/>
      <c r="AF433" s="85"/>
      <c r="AG433" s="85"/>
      <c r="AH433" s="85"/>
      <c r="AI433" s="85"/>
      <c r="AJ433" s="85"/>
      <c r="AK433" s="85"/>
      <c r="AL433" s="85"/>
      <c r="AM433" s="85"/>
      <c r="AN433" s="85"/>
      <c r="AO433" s="85"/>
      <c r="AP433" s="85"/>
    </row>
    <row r="434" ht="84.75" customHeight="1">
      <c r="A434" s="29"/>
      <c r="B434" s="38" t="s">
        <v>1256</v>
      </c>
      <c r="C434" s="38" t="s">
        <v>1277</v>
      </c>
      <c r="D434" s="40" t="s">
        <v>1278</v>
      </c>
      <c r="E434" s="40"/>
      <c r="F434" s="40" t="s">
        <v>1034</v>
      </c>
      <c r="G434" s="39" t="s">
        <v>1259</v>
      </c>
      <c r="H434" s="41" t="s">
        <v>170</v>
      </c>
      <c r="I434" s="48" t="s">
        <v>1279</v>
      </c>
      <c r="J434" s="42" t="str">
        <f>IFERROR(__xludf.DUMMYFUNCTION("GOOGLETRANSLATE(I434,""en"",""pl"")"),"5 w 1 4CH + 2CH (do 6CH NW) Wbudowany DVR, analogowy HD (maks. 8MP), TVI (maks. 8MP), CVI (maks. 5MP), CVBS, IP (maks. 8MP), potrójny kodek H.265/H.264/MJPEG, maks. przepustowość nagrywania 30 Mb/s / maks. przepustowość odtwarzania 32 Mb/s, do 2 wewnętrzn"&amp;"ych dysków twardych SATA (maks. 12 TB), 4-kanałowe wejście audio / 1-kanałowe wyjście audio, kabel koncentryczny (Pelco-C), lokalny podwójny monitor HDMI/VGA, SUNAPI, ONVIF, łatwa konfiguracja (kreator konfiguracji, P2P), obsługa smartfonów (iOS i Android"&amp;"), dysk twardy nie jest dołączony")</f>
        <v>5 w 1 4CH + 2CH (do 6CH NW) Wbudowany DVR, analogowy HD (maks. 8MP), TVI (maks. 8MP), CVI (maks. 5MP), CVBS, IP (maks. 8MP), potrójny kodek H.265/H.264/MJPEG, maks. przepustowość nagrywania 30 Mb/s / maks. przepustowość odtwarzania 32 Mb/s, do 2 wewnętrznych dysków twardych SATA (maks. 12 TB), 4-kanałowe wejście audio / 1-kanałowe wyjście audio, kabel koncentryczny (Pelco-C), lokalny podwójny monitor HDMI/VGA, SUNAPI, ONVIF, łatwa konfiguracja (kreator konfiguracji, P2P), obsługa smartfonów (iOS i Android), dysk twardy nie jest dołączony</v>
      </c>
      <c r="K434" s="43" t="s">
        <v>21</v>
      </c>
      <c r="L434" s="44">
        <v>330.0</v>
      </c>
      <c r="M434" s="8"/>
      <c r="N434" s="45" t="s">
        <v>22</v>
      </c>
      <c r="O434" s="97"/>
      <c r="P434" s="36"/>
      <c r="Q434" s="35"/>
      <c r="R434" s="68"/>
      <c r="S434" s="68"/>
      <c r="T434" s="68"/>
      <c r="U434" s="35"/>
      <c r="V434" s="35"/>
      <c r="W434" s="35"/>
      <c r="X434" s="35"/>
      <c r="Y434" s="35"/>
      <c r="Z434" s="35"/>
      <c r="AA434" s="35"/>
      <c r="AB434" s="35"/>
      <c r="AC434" s="60"/>
      <c r="AD434" s="85"/>
      <c r="AE434" s="85"/>
      <c r="AF434" s="85"/>
      <c r="AG434" s="85"/>
      <c r="AH434" s="85"/>
      <c r="AI434" s="85"/>
      <c r="AJ434" s="85"/>
      <c r="AK434" s="85"/>
      <c r="AL434" s="85"/>
      <c r="AM434" s="85"/>
      <c r="AN434" s="85"/>
      <c r="AO434" s="85"/>
      <c r="AP434" s="85"/>
    </row>
    <row r="435" ht="84.75" customHeight="1">
      <c r="A435" s="29"/>
      <c r="B435" s="38" t="s">
        <v>1256</v>
      </c>
      <c r="C435" s="38" t="s">
        <v>1280</v>
      </c>
      <c r="D435" s="40" t="s">
        <v>1281</v>
      </c>
      <c r="E435" s="40"/>
      <c r="F435" s="40" t="s">
        <v>1034</v>
      </c>
      <c r="G435" s="39" t="s">
        <v>1259</v>
      </c>
      <c r="H435" s="41" t="s">
        <v>170</v>
      </c>
      <c r="I435" s="48" t="s">
        <v>1282</v>
      </c>
      <c r="J435" s="42" t="str">
        <f>IFERROR(__xludf.DUMMYFUNCTION("GOOGLETRANSLATE(I435,""en"",""pl"")"),"5 w 1 4CH + 2CH (do 6CH NW) Wbudowany DVR, analogowy HD (maks. 8 MP), TVI (maks. 8 MP), CVI (maks. 5 MP), CVBS, IP (maks. 8 MP), potrójny kodek H.265/H.264/MJPEG, maks. przepustowość nagrywania 30 Mb/s / maks. przepustowość odtwarzania 32 Mb/s, do 2 wewnę"&amp;"trznych dysków twardych SATA (maks. 12 TB), 4-kanałowe wejście audio / 1-kanałowe wyjście audio, kabel koncentryczny (Pelco-C), podwójny lokalny monitor HDMI/VGA, SUNAPI, ONVIF, łatwa konfiguracja (kreator konfiguracji, P2P), obsługa smartfonów (iOS i And"&amp;"roid), dołączony dysk twardy Seagate SKyHawk o pojemności 4 TB (ST4000VX016)")</f>
        <v>5 w 1 4CH + 2CH (do 6CH NW) Wbudowany DVR, analogowy HD (maks. 8 MP), TVI (maks. 8 MP), CVI (maks. 5 MP), CVBS, IP (maks. 8 MP), potrójny kodek H.265/H.264/MJPEG, maks. przepustowość nagrywania 30 Mb/s / maks. przepustowość odtwarzania 32 Mb/s, do 2 wewnętrznych dysków twardych SATA (maks. 12 TB), 4-kanałowe wejście audio / 1-kanałowe wyjście audio, kabel koncentryczny (Pelco-C), podwójny lokalny monitor HDMI/VGA, SUNAPI, ONVIF, łatwa konfiguracja (kreator konfiguracji, P2P), obsługa smartfonów (iOS i Android), dołączony dysk twardy Seagate SKyHawk o pojemności 4 TB (ST4000VX016)</v>
      </c>
      <c r="K435" s="43" t="s">
        <v>21</v>
      </c>
      <c r="L435" s="44">
        <v>630.0</v>
      </c>
      <c r="M435" s="8"/>
      <c r="N435" s="45" t="s">
        <v>22</v>
      </c>
      <c r="O435" s="97"/>
      <c r="P435" s="36"/>
      <c r="Q435" s="35"/>
      <c r="R435" s="68"/>
      <c r="S435" s="68"/>
      <c r="T435" s="68"/>
      <c r="U435" s="35"/>
      <c r="V435" s="35"/>
      <c r="W435" s="35"/>
      <c r="X435" s="35"/>
      <c r="Y435" s="35"/>
      <c r="Z435" s="35"/>
      <c r="AA435" s="35"/>
      <c r="AB435" s="35"/>
      <c r="AC435" s="60"/>
      <c r="AD435" s="85"/>
      <c r="AE435" s="85"/>
      <c r="AF435" s="85"/>
      <c r="AG435" s="85"/>
      <c r="AH435" s="85"/>
      <c r="AI435" s="85"/>
      <c r="AJ435" s="85"/>
      <c r="AK435" s="85"/>
      <c r="AL435" s="85"/>
      <c r="AM435" s="85"/>
      <c r="AN435" s="85"/>
      <c r="AO435" s="85"/>
      <c r="AP435" s="85"/>
    </row>
    <row r="436" ht="84.75" customHeight="1">
      <c r="A436" s="29"/>
      <c r="B436" s="38" t="s">
        <v>1256</v>
      </c>
      <c r="C436" s="38" t="s">
        <v>1283</v>
      </c>
      <c r="D436" s="40" t="s">
        <v>1284</v>
      </c>
      <c r="E436" s="40"/>
      <c r="F436" s="40" t="s">
        <v>1034</v>
      </c>
      <c r="G436" s="39" t="s">
        <v>1259</v>
      </c>
      <c r="H436" s="41" t="s">
        <v>170</v>
      </c>
      <c r="I436" s="48" t="s">
        <v>1285</v>
      </c>
      <c r="J436" s="42" t="str">
        <f>IFERROR(__xludf.DUMMYFUNCTION("GOOGLETRANSLATE(I436,""en"",""pl"")"),"5 w 1 4CH + 2CH (do 6CH NW) Wbudowany DVR, analogowy HD (maks. 8 MP), TVI (maks. 8 MP), CVI (maks. 5 MP), CVBS, IP (maks. 8 MP), potrójny kodek H.265/H.264/MJPEG, maks. przepustowość nagrywania 30 Mb/s / maks. przepustowość odtwarzania 32 Mb/s, do 2 wewnę"&amp;"trznych dysków twardych SATA (maks. 12 TB), 4-kanałowe wejście audio / 1-kanałowe wyjście audio, kabel koncentryczny (Pelco-C), podwójny lokalny monitor HDMI/VGA, SUNAPI, ONVIF, łatwa konfiguracja (kreator konfiguracji, P2P), obsługa smartfonów (iOS i And"&amp;"roid), dołączony dysk twardy Seagate SKyHawk o pojemności 6 TB (ST6000VX009)")</f>
        <v>5 w 1 4CH + 2CH (do 6CH NW) Wbudowany DVR, analogowy HD (maks. 8 MP), TVI (maks. 8 MP), CVI (maks. 5 MP), CVBS, IP (maks. 8 MP), potrójny kodek H.265/H.264/MJPEG, maks. przepustowość nagrywania 30 Mb/s / maks. przepustowość odtwarzania 32 Mb/s, do 2 wewnętrznych dysków twardych SATA (maks. 12 TB), 4-kanałowe wejście audio / 1-kanałowe wyjście audio, kabel koncentryczny (Pelco-C), podwójny lokalny monitor HDMI/VGA, SUNAPI, ONVIF, łatwa konfiguracja (kreator konfiguracji, P2P), obsługa smartfonów (iOS i Android), dołączony dysk twardy Seagate SKyHawk o pojemności 6 TB (ST6000VX009)</v>
      </c>
      <c r="K436" s="43" t="s">
        <v>21</v>
      </c>
      <c r="L436" s="44">
        <v>800.0</v>
      </c>
      <c r="M436" s="8"/>
      <c r="N436" s="45" t="s">
        <v>22</v>
      </c>
      <c r="O436" s="97"/>
      <c r="P436" s="36"/>
      <c r="Q436" s="35"/>
      <c r="R436" s="68"/>
      <c r="S436" s="68"/>
      <c r="T436" s="68"/>
      <c r="U436" s="35"/>
      <c r="V436" s="35"/>
      <c r="W436" s="35"/>
      <c r="X436" s="35"/>
      <c r="Y436" s="35"/>
      <c r="Z436" s="35"/>
      <c r="AA436" s="35"/>
      <c r="AB436" s="35"/>
      <c r="AC436" s="60"/>
      <c r="AD436" s="85"/>
      <c r="AE436" s="85"/>
      <c r="AF436" s="85"/>
      <c r="AG436" s="85"/>
      <c r="AH436" s="85"/>
      <c r="AI436" s="85"/>
      <c r="AJ436" s="85"/>
      <c r="AK436" s="85"/>
      <c r="AL436" s="85"/>
      <c r="AM436" s="85"/>
      <c r="AN436" s="85"/>
      <c r="AO436" s="85"/>
      <c r="AP436" s="85"/>
    </row>
    <row r="437" ht="84.75" customHeight="1">
      <c r="A437" s="29"/>
      <c r="B437" s="38" t="s">
        <v>1256</v>
      </c>
      <c r="C437" s="38" t="s">
        <v>1286</v>
      </c>
      <c r="D437" s="40" t="s">
        <v>1287</v>
      </c>
      <c r="E437" s="40"/>
      <c r="F437" s="40" t="s">
        <v>1034</v>
      </c>
      <c r="G437" s="39" t="s">
        <v>1259</v>
      </c>
      <c r="H437" s="41" t="s">
        <v>170</v>
      </c>
      <c r="I437" s="48" t="s">
        <v>1288</v>
      </c>
      <c r="J437" s="42" t="str">
        <f>IFERROR(__xludf.DUMMYFUNCTION("GOOGLETRANSLATE(I437,""en"",""pl"")"),"5 w 1 4CH + 2CH (do 6CH NW) Wbudowany DVR, analogowy HD (maks. 8MP), TVI (maks. 8MP), CVI (maks. 5MP), CVBS, IP (maks. 8MP), potrójny kodek H.265/H.264/MJPEG, maks. przepustowość nagrywania 30 Mb/s / maks. przepustowość odtwarzania 32 Mb/s, do 2 wewnętrzn"&amp;"ych dysków twardych SATA (maks. 12 TB), 4-kanałowe wejście audio / 1-kanałowe wyjście audio, kabel koncentryczny (Pelco-C), podwójny lokalny monitor HDMI/VGA, SUNAPI, ONVIF, łatwa konfiguracja (kreator konfiguracji, P2P), obsługa smartfonów (iOS i Android"&amp;"), 2 dyski twarde Seagate SKyHawk o pojemności 6 TB w zestawie (ST6000VX009)")</f>
        <v>5 w 1 4CH + 2CH (do 6CH NW) Wbudowany DVR, analogowy HD (maks. 8MP), TVI (maks. 8MP), CVI (maks. 5MP), CVBS, IP (maks. 8MP), potrójny kodek H.265/H.264/MJPEG, maks. przepustowość nagrywania 30 Mb/s / maks. przepustowość odtwarzania 32 Mb/s, do 2 wewnętrznych dysków twardych SATA (maks. 12 TB), 4-kanałowe wejście audio / 1-kanałowe wyjście audio, kabel koncentryczny (Pelco-C), podwójny lokalny monitor HDMI/VGA, SUNAPI, ONVIF, łatwa konfiguracja (kreator konfiguracji, P2P), obsługa smartfonów (iOS i Android), 2 dyski twarde Seagate SKyHawk o pojemności 6 TB w zestawie (ST6000VX009)</v>
      </c>
      <c r="K437" s="43" t="s">
        <v>21</v>
      </c>
      <c r="L437" s="44">
        <v>1200.0</v>
      </c>
      <c r="M437" s="8"/>
      <c r="N437" s="45" t="s">
        <v>22</v>
      </c>
      <c r="O437" s="97"/>
      <c r="P437" s="36"/>
      <c r="Q437" s="35"/>
      <c r="R437" s="68"/>
      <c r="S437" s="68"/>
      <c r="T437" s="68"/>
      <c r="U437" s="35"/>
      <c r="V437" s="35"/>
      <c r="W437" s="35"/>
      <c r="X437" s="35"/>
      <c r="Y437" s="35"/>
      <c r="Z437" s="35"/>
      <c r="AA437" s="35"/>
      <c r="AB437" s="35"/>
      <c r="AC437" s="60"/>
      <c r="AD437" s="85"/>
      <c r="AE437" s="85"/>
      <c r="AF437" s="85"/>
      <c r="AG437" s="85"/>
      <c r="AH437" s="85"/>
      <c r="AI437" s="85"/>
      <c r="AJ437" s="85"/>
      <c r="AK437" s="85"/>
      <c r="AL437" s="85"/>
      <c r="AM437" s="85"/>
      <c r="AN437" s="85"/>
      <c r="AO437" s="85"/>
      <c r="AP437" s="85"/>
    </row>
    <row r="438" ht="84.75" customHeight="1">
      <c r="A438" s="29"/>
      <c r="B438" s="38" t="s">
        <v>1256</v>
      </c>
      <c r="C438" s="39" t="s">
        <v>1289</v>
      </c>
      <c r="D438" s="40" t="s">
        <v>1278</v>
      </c>
      <c r="E438" s="40"/>
      <c r="F438" s="40" t="s">
        <v>1034</v>
      </c>
      <c r="G438" s="39" t="s">
        <v>1259</v>
      </c>
      <c r="H438" s="41" t="s">
        <v>170</v>
      </c>
      <c r="I438" s="48" t="s">
        <v>1290</v>
      </c>
      <c r="J438" s="42" t="str">
        <f>IFERROR(__xludf.DUMMYFUNCTION("GOOGLETRANSLATE(I438,""en"",""pl"")"),"5 w 1 4CH + 2CH (do 6CH NW) Wbudowany DVR, analogowy HD (maks. 8MP), TVI (maks. 8MP), CVI (maks. 5MP), CVBS, IP (maks. 8MP), potrójny kodek H.265/H.264/MJPEG, maks. przepustowość nagrywania 30 Mb/s / maks. przepustowość odtwarzania 32 Mb/s, 1 wewnętrzny d"&amp;"ysk twardy SATA (maks. 6TB), 1 wejście audio / 1 wyjście audio, kabel koncentryczny (Pelco-C), lokalny podwójny monitor HDMI/VGA, SUNAPI, ONVIF, łatwa konfiguracja (kreator konfiguracji, P2P), obsługa smartfonów (iOS i Android), dysk twardy nie jest dołąc"&amp;"zony")</f>
        <v>5 w 1 4CH + 2CH (do 6CH NW) Wbudowany DVR, analogowy HD (maks. 8MP), TVI (maks. 8MP), CVI (maks. 5MP), CVBS, IP (maks. 8MP), potrójny kodek H.265/H.264/MJPEG, maks. przepustowość nagrywania 30 Mb/s / maks. przepustowość odtwarzania 32 Mb/s, 1 wewnętrzny dysk twardy SATA (maks. 6TB), 1 wejście audio / 1 wyjście audio, kabel koncentryczny (Pelco-C), lokalny podwójny monitor HDMI/VGA, SUNAPI, ONVIF, łatwa konfiguracja (kreator konfiguracji, P2P), obsługa smartfonów (iOS i Android), dysk twardy nie jest dołączony</v>
      </c>
      <c r="K438" s="43" t="s">
        <v>21</v>
      </c>
      <c r="L438" s="44">
        <v>280.0</v>
      </c>
      <c r="M438" s="8"/>
      <c r="N438" s="45" t="s">
        <v>22</v>
      </c>
      <c r="O438" s="97"/>
      <c r="P438" s="36"/>
      <c r="Q438" s="35"/>
      <c r="R438" s="68"/>
      <c r="S438" s="68"/>
      <c r="T438" s="68"/>
      <c r="U438" s="35"/>
      <c r="V438" s="35"/>
      <c r="W438" s="35"/>
      <c r="X438" s="35"/>
      <c r="Y438" s="35"/>
      <c r="Z438" s="35"/>
      <c r="AA438" s="35"/>
      <c r="AB438" s="35"/>
      <c r="AC438" s="60"/>
      <c r="AD438" s="85"/>
      <c r="AE438" s="85"/>
      <c r="AF438" s="85"/>
      <c r="AG438" s="85"/>
      <c r="AH438" s="85"/>
      <c r="AI438" s="85"/>
      <c r="AJ438" s="85"/>
      <c r="AK438" s="85"/>
      <c r="AL438" s="85"/>
      <c r="AM438" s="85"/>
      <c r="AN438" s="85"/>
      <c r="AO438" s="85"/>
      <c r="AP438" s="85"/>
    </row>
    <row r="439" ht="84.75" customHeight="1">
      <c r="A439" s="29"/>
      <c r="B439" s="38" t="s">
        <v>1256</v>
      </c>
      <c r="C439" s="39" t="s">
        <v>1291</v>
      </c>
      <c r="D439" s="40" t="s">
        <v>1281</v>
      </c>
      <c r="E439" s="40"/>
      <c r="F439" s="40" t="s">
        <v>1034</v>
      </c>
      <c r="G439" s="39" t="s">
        <v>1259</v>
      </c>
      <c r="H439" s="41" t="s">
        <v>170</v>
      </c>
      <c r="I439" s="48" t="s">
        <v>1292</v>
      </c>
      <c r="J439" s="42" t="str">
        <f>IFERROR(__xludf.DUMMYFUNCTION("GOOGLETRANSLATE(I439,""en"",""pl"")"),"5 w 1 4CH + 2CH (do 6CH NW) Wbudowany DVR, analogowy HD (maks. 8 MP), TVI (maks. 8 MP), CVI (maks. 5 MP), CVBS, IP (maks. 8 MP), potrójny kodek H.265/H.264/MJPEG, maks. przepustowość nagrywania 30 Mb/s / maks. przepustowość odtwarzania 32 Mb/s, 1 wewnętrz"&amp;"ny dysk twardy SATA (maks. 6 TB), 1 wejście audio / 1 wyjście audio, kabel koncentryczny (Pelco-C), podwójny lokalny monitor HDMI/VGA, SUNAPI, ONVIF, łatwa konfiguracja (kreator konfiguracji, P2P), obsługa smartfonów (iOS i Android), dołączony dysk twardy"&amp;" Seagate SKyHawk o pojemności 4 TB (ST4000VX016)")</f>
        <v>5 w 1 4CH + 2CH (do 6CH NW) Wbudowany DVR, analogowy HD (maks. 8 MP), TVI (maks. 8 MP), CVI (maks. 5 MP), CVBS, IP (maks. 8 MP), potrójny kodek H.265/H.264/MJPEG, maks. przepustowość nagrywania 30 Mb/s / maks. przepustowość odtwarzania 32 Mb/s, 1 wewnętrzny dysk twardy SATA (maks. 6 TB), 1 wejście audio / 1 wyjście audio, kabel koncentryczny (Pelco-C), podwójny lokalny monitor HDMI/VGA, SUNAPI, ONVIF, łatwa konfiguracja (kreator konfiguracji, P2P), obsługa smartfonów (iOS i Android), dołączony dysk twardy Seagate SKyHawk o pojemności 4 TB (ST4000VX016)</v>
      </c>
      <c r="K439" s="43" t="s">
        <v>21</v>
      </c>
      <c r="L439" s="44">
        <v>580.0</v>
      </c>
      <c r="M439" s="8"/>
      <c r="N439" s="45" t="s">
        <v>22</v>
      </c>
      <c r="O439" s="97"/>
      <c r="P439" s="36"/>
      <c r="Q439" s="35"/>
      <c r="R439" s="68"/>
      <c r="S439" s="68"/>
      <c r="T439" s="68"/>
      <c r="U439" s="35"/>
      <c r="V439" s="35"/>
      <c r="W439" s="35"/>
      <c r="X439" s="35"/>
      <c r="Y439" s="35"/>
      <c r="Z439" s="35"/>
      <c r="AA439" s="35"/>
      <c r="AB439" s="35"/>
      <c r="AC439" s="60"/>
      <c r="AD439" s="85"/>
      <c r="AE439" s="85"/>
      <c r="AF439" s="85"/>
      <c r="AG439" s="85"/>
      <c r="AH439" s="85"/>
      <c r="AI439" s="85"/>
      <c r="AJ439" s="85"/>
      <c r="AK439" s="85"/>
      <c r="AL439" s="85"/>
      <c r="AM439" s="85"/>
      <c r="AN439" s="85"/>
      <c r="AO439" s="85"/>
      <c r="AP439" s="85"/>
    </row>
    <row r="440" ht="84.75" customHeight="1">
      <c r="A440" s="29"/>
      <c r="B440" s="38" t="s">
        <v>1256</v>
      </c>
      <c r="C440" s="39" t="s">
        <v>1293</v>
      </c>
      <c r="D440" s="40" t="s">
        <v>1284</v>
      </c>
      <c r="E440" s="40"/>
      <c r="F440" s="40" t="s">
        <v>1034</v>
      </c>
      <c r="G440" s="39" t="s">
        <v>1259</v>
      </c>
      <c r="H440" s="41" t="s">
        <v>170</v>
      </c>
      <c r="I440" s="48" t="s">
        <v>1294</v>
      </c>
      <c r="J440" s="42" t="str">
        <f>IFERROR(__xludf.DUMMYFUNCTION("GOOGLETRANSLATE(I440,""en"",""pl"")"),"5 w 1 4CH + 2CH (do 6CH NW) Wbudowany DVR, analogowy HD (maks. 8 MP), TVI (maks. 8 MP), CVI (maks. 5 MP), CVBS, IP (maks. 8 MP), potrójny kodek H.265/H.264/MJPEG, maks. przepustowość nagrywania 30 Mb/s / maks. przepustowość odtwarzania 32 Mb/s, 1 wewnętrz"&amp;"ny dysk twardy SATA (maks. 6 TB), 1 wejście audio / 1 wyjście audio, kabel koncentryczny (Pelco-C), podwójny lokalny monitor HDMI/VGA, SUNAPI, ONVIF, łatwa konfiguracja (kreator konfiguracji, P2P), obsługa smartfonów (iOS i Android), dołączony dysk twardy"&amp;" Seagate SKyHawk o pojemności 6 TB (ST6000VX009)")</f>
        <v>5 w 1 4CH + 2CH (do 6CH NW) Wbudowany DVR, analogowy HD (maks. 8 MP), TVI (maks. 8 MP), CVI (maks. 5 MP), CVBS, IP (maks. 8 MP), potrójny kodek H.265/H.264/MJPEG, maks. przepustowość nagrywania 30 Mb/s / maks. przepustowość odtwarzania 32 Mb/s, 1 wewnętrzny dysk twardy SATA (maks. 6 TB), 1 wejście audio / 1 wyjście audio, kabel koncentryczny (Pelco-C), podwójny lokalny monitor HDMI/VGA, SUNAPI, ONVIF, łatwa konfiguracja (kreator konfiguracji, P2P), obsługa smartfonów (iOS i Android), dołączony dysk twardy Seagate SKyHawk o pojemności 6 TB (ST6000VX009)</v>
      </c>
      <c r="K440" s="43" t="s">
        <v>21</v>
      </c>
      <c r="L440" s="44">
        <v>750.0</v>
      </c>
      <c r="M440" s="8"/>
      <c r="N440" s="45" t="s">
        <v>22</v>
      </c>
      <c r="O440" s="97"/>
      <c r="P440" s="36"/>
      <c r="Q440" s="35"/>
      <c r="R440" s="68"/>
      <c r="S440" s="68"/>
      <c r="T440" s="68"/>
      <c r="U440" s="35"/>
      <c r="V440" s="35"/>
      <c r="W440" s="35"/>
      <c r="X440" s="35"/>
      <c r="Y440" s="35"/>
      <c r="Z440" s="35"/>
      <c r="AA440" s="35"/>
      <c r="AB440" s="35"/>
      <c r="AC440" s="60"/>
      <c r="AD440" s="85"/>
      <c r="AE440" s="85"/>
      <c r="AF440" s="85"/>
      <c r="AG440" s="85"/>
      <c r="AH440" s="85"/>
      <c r="AI440" s="85"/>
      <c r="AJ440" s="85"/>
      <c r="AK440" s="85"/>
      <c r="AL440" s="85"/>
      <c r="AM440" s="85"/>
      <c r="AN440" s="85"/>
      <c r="AO440" s="85"/>
      <c r="AP440" s="85"/>
    </row>
    <row r="441" ht="84.75" customHeight="1">
      <c r="A441" s="29"/>
      <c r="B441" s="38" t="s">
        <v>1256</v>
      </c>
      <c r="C441" s="39" t="s">
        <v>1295</v>
      </c>
      <c r="D441" s="40" t="s">
        <v>1278</v>
      </c>
      <c r="E441" s="40"/>
      <c r="F441" s="40" t="s">
        <v>1296</v>
      </c>
      <c r="G441" s="39" t="s">
        <v>1259</v>
      </c>
      <c r="H441" s="127" t="s">
        <v>920</v>
      </c>
      <c r="I441" s="48" t="s">
        <v>1297</v>
      </c>
      <c r="J441" s="42" t="str">
        <f>IFERROR(__xludf.DUMMYFUNCTION("GOOGLETRANSLATE(I441,""en"",""pl"")"),"5 w 1 4CH + 2CH (do 6CH NW) Wbudowany DVR, analogowy HD (maks. 8MP), TVI (maks. 8MP), CVI (maks. 5MP), CVBS, IP (maks. 8MP), potrójny kodek H.265/H.264/MJPEG, nagrywanie 8 kl./s przy 8 MP / 12 kl./s przy 5 MP, 1 wewnętrzny dysk twardy SATA (maks. 6TB), 1 "&amp;"wejście audio / 1 wyjście audio, kabel koncentryczny (Pelco-C), lokalny podwójny monitor HDMI/VGA, SUNAPI, ONVIF, łatwa konfiguracja (kreator konfiguracji, P2P), obsługa smartfonów (iOS i Android), dysk twardy nie jest dołączony")</f>
        <v>5 w 1 4CH + 2CH (do 6CH NW) Wbudowany DVR, analogowy HD (maks. 8MP), TVI (maks. 8MP), CVI (maks. 5MP), CVBS, IP (maks. 8MP), potrójny kodek H.265/H.264/MJPEG, nagrywanie 8 kl./s przy 8 MP / 12 kl./s przy 5 MP, 1 wewnętrzny dysk twardy SATA (maks. 6TB), 1 wejście audio / 1 wyjście audio, kabel koncentryczny (Pelco-C), lokalny podwójny monitor HDMI/VGA, SUNAPI, ONVIF, łatwa konfiguracja (kreator konfiguracji, P2P), obsługa smartfonów (iOS i Android), dysk twardy nie jest dołączony</v>
      </c>
      <c r="K441" s="43" t="s">
        <v>21</v>
      </c>
      <c r="L441" s="44">
        <v>264.0</v>
      </c>
      <c r="M441" s="8"/>
      <c r="N441" s="45" t="s">
        <v>22</v>
      </c>
      <c r="O441" s="97"/>
      <c r="P441" s="36"/>
      <c r="Q441" s="35"/>
      <c r="R441" s="68"/>
      <c r="S441" s="68"/>
      <c r="T441" s="68"/>
      <c r="U441" s="35"/>
      <c r="V441" s="35"/>
      <c r="W441" s="35"/>
      <c r="X441" s="35"/>
      <c r="Y441" s="35"/>
      <c r="Z441" s="35"/>
      <c r="AA441" s="35"/>
      <c r="AB441" s="35"/>
      <c r="AC441" s="60"/>
      <c r="AD441" s="85"/>
      <c r="AE441" s="85"/>
      <c r="AF441" s="85"/>
      <c r="AG441" s="85"/>
      <c r="AH441" s="85"/>
      <c r="AI441" s="85"/>
      <c r="AJ441" s="85"/>
      <c r="AK441" s="85"/>
      <c r="AL441" s="85"/>
      <c r="AM441" s="85"/>
      <c r="AN441" s="85"/>
      <c r="AO441" s="85"/>
      <c r="AP441" s="85"/>
    </row>
    <row r="442" ht="84.75" customHeight="1">
      <c r="A442" s="29"/>
      <c r="B442" s="102" t="s">
        <v>1256</v>
      </c>
      <c r="C442" s="103" t="s">
        <v>1298</v>
      </c>
      <c r="D442" s="104" t="s">
        <v>1299</v>
      </c>
      <c r="E442" s="104"/>
      <c r="F442" s="104" t="s">
        <v>1296</v>
      </c>
      <c r="G442" s="103" t="s">
        <v>1259</v>
      </c>
      <c r="H442" s="127" t="s">
        <v>920</v>
      </c>
      <c r="I442" s="106" t="s">
        <v>1300</v>
      </c>
      <c r="J442" s="42" t="str">
        <f>IFERROR(__xludf.DUMMYFUNCTION("GOOGLETRANSLATE(I442,""en"",""pl"")"),"5 w 1 4CH + 2CH (do 6CH NW) Wbudowany DVR, analogowy HD (maks. 8MP), TVI (maks. 8MP), CVI (maks. 5MP), CVBS, IP (maks. 8MP), potrójny kodek H.265/H.264/MJPEG, nagrywanie 8 kl./s przy 8 MP / 12 kl./s przy 5 MP, 1 wewnętrzny dysk twardy SATA (maks. 6TB), 1 "&amp;"wejście audio / 1 wyjście audio, kabel koncentryczny (Pelco-C), podwójny lokalny monitor HDMI/VGA, SUNAPI, ONVIF, łatwa konfiguracja (kreator konfiguracji, P2P), obsługa smartfonów (iOS i Android), dysk twardy 2TB w zestawie")</f>
        <v>5 w 1 4CH + 2CH (do 6CH NW) Wbudowany DVR, analogowy HD (maks. 8MP), TVI (maks. 8MP), CVI (maks. 5MP), CVBS, IP (maks. 8MP), potrójny kodek H.265/H.264/MJPEG, nagrywanie 8 kl./s przy 8 MP / 12 kl./s przy 5 MP, 1 wewnętrzny dysk twardy SATA (maks. 6TB), 1 wejście audio / 1 wyjście audio, kabel koncentryczny (Pelco-C), podwójny lokalny monitor HDMI/VGA, SUNAPI, ONVIF, łatwa konfiguracja (kreator konfiguracji, P2P), obsługa smartfonów (iOS i Android), dysk twardy 2TB w zestawie</v>
      </c>
      <c r="K442" s="43" t="s">
        <v>21</v>
      </c>
      <c r="L442" s="44">
        <v>480.0</v>
      </c>
      <c r="M442" s="8"/>
      <c r="N442" s="45" t="s">
        <v>22</v>
      </c>
      <c r="O442" s="97"/>
      <c r="P442" s="36"/>
      <c r="Q442" s="35"/>
      <c r="R442" s="68"/>
      <c r="S442" s="68"/>
      <c r="T442" s="68"/>
      <c r="U442" s="35"/>
      <c r="V442" s="35"/>
      <c r="W442" s="35"/>
      <c r="X442" s="35"/>
      <c r="Y442" s="35"/>
      <c r="Z442" s="35"/>
      <c r="AA442" s="35"/>
      <c r="AB442" s="35"/>
      <c r="AC442" s="60"/>
      <c r="AD442" s="85"/>
      <c r="AE442" s="85"/>
      <c r="AF442" s="85"/>
      <c r="AG442" s="85"/>
      <c r="AH442" s="85"/>
      <c r="AI442" s="85"/>
      <c r="AJ442" s="85"/>
      <c r="AK442" s="85"/>
      <c r="AL442" s="85"/>
      <c r="AM442" s="85"/>
      <c r="AN442" s="85"/>
      <c r="AO442" s="85"/>
      <c r="AP442" s="85"/>
    </row>
    <row r="443" ht="30.0" customHeight="1">
      <c r="A443" s="29"/>
      <c r="B443" s="93" t="s">
        <v>1301</v>
      </c>
      <c r="C443" s="113"/>
      <c r="D443" s="113"/>
      <c r="E443" s="113"/>
      <c r="F443" s="113"/>
      <c r="G443" s="113"/>
      <c r="H443" s="113"/>
      <c r="I443" s="113"/>
      <c r="J443" s="42" t="str">
        <f>IFERROR(__xludf.DUMMYFUNCTION("GOOGLETRANSLATE(I443,""en"",""pl"")"),"#VALUE!")</f>
        <v>#VALUE!</v>
      </c>
      <c r="K443" s="113"/>
      <c r="L443" s="114"/>
      <c r="M443" s="115"/>
      <c r="N443" s="96"/>
      <c r="O443" s="83"/>
      <c r="P443" s="36"/>
      <c r="Q443" s="35"/>
      <c r="R443" s="68"/>
      <c r="S443" s="68"/>
      <c r="T443" s="68"/>
      <c r="U443" s="35"/>
      <c r="V443" s="35"/>
      <c r="W443" s="35"/>
      <c r="X443" s="35"/>
      <c r="Y443" s="35"/>
      <c r="Z443" s="35"/>
      <c r="AA443" s="35"/>
      <c r="AB443" s="35"/>
      <c r="AC443" s="60"/>
      <c r="AD443" s="85"/>
      <c r="AE443" s="85"/>
      <c r="AF443" s="85"/>
      <c r="AG443" s="85"/>
      <c r="AH443" s="85"/>
      <c r="AI443" s="85"/>
      <c r="AJ443" s="85"/>
      <c r="AK443" s="85"/>
      <c r="AL443" s="85"/>
      <c r="AM443" s="85"/>
      <c r="AN443" s="85"/>
      <c r="AO443" s="85"/>
      <c r="AP443" s="85"/>
    </row>
    <row r="444" ht="69.75" customHeight="1">
      <c r="A444" s="29"/>
      <c r="B444" s="38" t="s">
        <v>26</v>
      </c>
      <c r="C444" s="39" t="s">
        <v>1302</v>
      </c>
      <c r="D444" s="40" t="s">
        <v>1303</v>
      </c>
      <c r="E444" s="40"/>
      <c r="F444" s="40" t="s">
        <v>623</v>
      </c>
      <c r="G444" s="39" t="s">
        <v>26</v>
      </c>
      <c r="H444" s="41" t="s">
        <v>79</v>
      </c>
      <c r="I444" s="48" t="s">
        <v>1304</v>
      </c>
      <c r="J444" s="42" t="str">
        <f>IFERROR(__xludf.DUMMYFUNCTION("GOOGLETRANSLATE(I444,""en"",""pl"")"),"1/2,8"" 2MP CMOS z modułem obiektywu stałoogniskowego 4,6 mm do kamery XNB-6001, pole widzenia: poziomo: 73˚, pionowo: 39˚, 0,06 luksa, WDR (120 dB), elektryczny tryb dzień/noc")</f>
        <v>1/2,8" 2MP CMOS z modułem obiektywu stałoogniskowego 4,6 mm do kamery XNB-6001, pole widzenia: poziomo: 73˚, pionowo: 39˚, 0,06 luksa, WDR (120 dB), elektryczny tryb dzień/noc</v>
      </c>
      <c r="K444" s="43" t="s">
        <v>21</v>
      </c>
      <c r="L444" s="44">
        <v>214.0</v>
      </c>
      <c r="M444" s="8"/>
      <c r="N444" s="45" t="s">
        <v>22</v>
      </c>
      <c r="O444" s="97"/>
      <c r="P444" s="36"/>
      <c r="Q444" s="35"/>
      <c r="R444" s="68"/>
      <c r="S444" s="68"/>
      <c r="T444" s="68"/>
      <c r="U444" s="35"/>
      <c r="V444" s="35"/>
      <c r="W444" s="35"/>
      <c r="X444" s="35"/>
      <c r="Y444" s="35"/>
      <c r="Z444" s="35"/>
      <c r="AA444" s="35"/>
      <c r="AB444" s="35"/>
      <c r="AC444" s="60"/>
      <c r="AD444" s="85"/>
      <c r="AE444" s="85"/>
      <c r="AF444" s="85"/>
      <c r="AG444" s="85"/>
      <c r="AH444" s="85"/>
      <c r="AI444" s="85"/>
      <c r="AJ444" s="85"/>
      <c r="AK444" s="85"/>
      <c r="AL444" s="85"/>
      <c r="AM444" s="85"/>
      <c r="AN444" s="85"/>
      <c r="AO444" s="85"/>
      <c r="AP444" s="85"/>
    </row>
    <row r="445" ht="69.75" customHeight="1">
      <c r="A445" s="29"/>
      <c r="B445" s="38" t="s">
        <v>26</v>
      </c>
      <c r="C445" s="39" t="s">
        <v>1305</v>
      </c>
      <c r="D445" s="40" t="s">
        <v>1306</v>
      </c>
      <c r="E445" s="40"/>
      <c r="F445" s="40" t="s">
        <v>623</v>
      </c>
      <c r="G445" s="39" t="s">
        <v>26</v>
      </c>
      <c r="H445" s="41" t="s">
        <v>79</v>
      </c>
      <c r="I445" s="48" t="s">
        <v>1304</v>
      </c>
      <c r="J445" s="42" t="str">
        <f>IFERROR(__xludf.DUMMYFUNCTION("GOOGLETRANSLATE(I445,""en"",""pl"")"),"1/2,8"" 2MP CMOS z modułem obiektywu stałoogniskowego 4,6 mm do kamery XNB-6001, pole widzenia: poziomo: 73˚, pionowo: 39˚, 0,06 luksa, WDR (120 dB), elektryczny tryb dzień/noc")</f>
        <v>1/2,8" 2MP CMOS z modułem obiektywu stałoogniskowego 4,6 mm do kamery XNB-6001, pole widzenia: poziomo: 73˚, pionowo: 39˚, 0,06 luksa, WDR (120 dB), elektryczny tryb dzień/noc</v>
      </c>
      <c r="K445" s="43" t="s">
        <v>21</v>
      </c>
      <c r="L445" s="44">
        <v>214.0</v>
      </c>
      <c r="M445" s="8"/>
      <c r="N445" s="45" t="s">
        <v>22</v>
      </c>
      <c r="O445" s="97"/>
      <c r="P445" s="36"/>
      <c r="Q445" s="35"/>
      <c r="R445" s="68"/>
      <c r="S445" s="68"/>
      <c r="T445" s="68"/>
      <c r="U445" s="35"/>
      <c r="V445" s="35"/>
      <c r="W445" s="35"/>
      <c r="X445" s="35"/>
      <c r="Y445" s="35"/>
      <c r="Z445" s="35"/>
      <c r="AA445" s="35"/>
      <c r="AB445" s="35"/>
      <c r="AC445" s="60"/>
      <c r="AD445" s="85"/>
      <c r="AE445" s="85"/>
      <c r="AF445" s="85"/>
      <c r="AG445" s="85"/>
      <c r="AH445" s="85"/>
      <c r="AI445" s="85"/>
      <c r="AJ445" s="85"/>
      <c r="AK445" s="85"/>
      <c r="AL445" s="85"/>
      <c r="AM445" s="85"/>
      <c r="AN445" s="85"/>
      <c r="AO445" s="85"/>
      <c r="AP445" s="85"/>
    </row>
    <row r="446" ht="69.75" customHeight="1">
      <c r="A446" s="29"/>
      <c r="B446" s="38" t="s">
        <v>26</v>
      </c>
      <c r="C446" s="39" t="s">
        <v>1307</v>
      </c>
      <c r="D446" s="40" t="s">
        <v>1308</v>
      </c>
      <c r="E446" s="40"/>
      <c r="F446" s="40" t="s">
        <v>623</v>
      </c>
      <c r="G446" s="39" t="s">
        <v>26</v>
      </c>
      <c r="H446" s="41" t="s">
        <v>79</v>
      </c>
      <c r="I446" s="48" t="s">
        <v>1309</v>
      </c>
      <c r="J446" s="42" t="str">
        <f>IFERROR(__xludf.DUMMYFUNCTION("GOOGLETRANSLATE(I446,""en"",""pl"")"),"1/2,8"" 2MP CMOS z modułem obiektywu stałoogniskowego 2,4 mm do kamery XNB-6001, pole widzenia: poziomo: 138˚, pionowo: 73˚, 0,45 luksa, WDR (120 dB), elektryczny tryb dzień/noc")</f>
        <v>1/2,8" 2MP CMOS z modułem obiektywu stałoogniskowego 2,4 mm do kamery XNB-6001, pole widzenia: poziomo: 138˚, pionowo: 73˚, 0,45 luksa, WDR (120 dB), elektryczny tryb dzień/noc</v>
      </c>
      <c r="K446" s="43" t="s">
        <v>21</v>
      </c>
      <c r="L446" s="44">
        <v>214.0</v>
      </c>
      <c r="M446" s="8"/>
      <c r="N446" s="45" t="s">
        <v>22</v>
      </c>
      <c r="O446" s="97"/>
      <c r="P446" s="36"/>
      <c r="Q446" s="35"/>
      <c r="R446" s="68"/>
      <c r="S446" s="68"/>
      <c r="T446" s="68"/>
      <c r="U446" s="35"/>
      <c r="V446" s="35"/>
      <c r="W446" s="35"/>
      <c r="X446" s="35"/>
      <c r="Y446" s="35"/>
      <c r="Z446" s="35"/>
      <c r="AA446" s="35"/>
      <c r="AB446" s="35"/>
      <c r="AC446" s="60"/>
      <c r="AD446" s="85"/>
      <c r="AE446" s="85"/>
      <c r="AF446" s="85"/>
      <c r="AG446" s="85"/>
      <c r="AH446" s="85"/>
      <c r="AI446" s="85"/>
      <c r="AJ446" s="85"/>
      <c r="AK446" s="85"/>
      <c r="AL446" s="85"/>
      <c r="AM446" s="85"/>
      <c r="AN446" s="85"/>
      <c r="AO446" s="85"/>
      <c r="AP446" s="85"/>
    </row>
    <row r="447" ht="69.75" customHeight="1">
      <c r="A447" s="29"/>
      <c r="B447" s="38" t="s">
        <v>26</v>
      </c>
      <c r="C447" s="39" t="s">
        <v>1310</v>
      </c>
      <c r="D447" s="40" t="s">
        <v>1311</v>
      </c>
      <c r="E447" s="40"/>
      <c r="F447" s="40" t="s">
        <v>623</v>
      </c>
      <c r="G447" s="39" t="s">
        <v>26</v>
      </c>
      <c r="H447" s="41" t="s">
        <v>79</v>
      </c>
      <c r="I447" s="48" t="s">
        <v>1309</v>
      </c>
      <c r="J447" s="42" t="str">
        <f>IFERROR(__xludf.DUMMYFUNCTION("GOOGLETRANSLATE(I447,""en"",""pl"")"),"1/2,8"" 2MP CMOS z modułem obiektywu stałoogniskowego 2,4 mm do kamery XNB-6001, pole widzenia: poziomo: 138˚, pionowo: 73˚, 0,45 luksa, WDR (120 dB), elektryczny tryb dzień/noc")</f>
        <v>1/2,8" 2MP CMOS z modułem obiektywu stałoogniskowego 2,4 mm do kamery XNB-6001, pole widzenia: poziomo: 138˚, pionowo: 73˚, 0,45 luksa, WDR (120 dB), elektryczny tryb dzień/noc</v>
      </c>
      <c r="K447" s="43" t="s">
        <v>21</v>
      </c>
      <c r="L447" s="44">
        <v>214.0</v>
      </c>
      <c r="M447" s="8"/>
      <c r="N447" s="45" t="s">
        <v>22</v>
      </c>
      <c r="O447" s="97"/>
      <c r="P447" s="36"/>
      <c r="Q447" s="35"/>
      <c r="R447" s="68"/>
      <c r="S447" s="68"/>
      <c r="T447" s="68"/>
      <c r="U447" s="35"/>
      <c r="V447" s="35"/>
      <c r="W447" s="35"/>
      <c r="X447" s="35"/>
      <c r="Y447" s="35"/>
      <c r="Z447" s="35"/>
      <c r="AA447" s="35"/>
      <c r="AB447" s="35"/>
      <c r="AC447" s="60"/>
      <c r="AD447" s="85"/>
      <c r="AE447" s="85"/>
      <c r="AF447" s="85"/>
      <c r="AG447" s="85"/>
      <c r="AH447" s="85"/>
      <c r="AI447" s="85"/>
      <c r="AJ447" s="85"/>
      <c r="AK447" s="85"/>
      <c r="AL447" s="85"/>
      <c r="AM447" s="85"/>
      <c r="AN447" s="85"/>
      <c r="AO447" s="85"/>
      <c r="AP447" s="85"/>
    </row>
    <row r="448" ht="73.5" customHeight="1">
      <c r="A448" s="29"/>
      <c r="B448" s="116" t="s">
        <v>26</v>
      </c>
      <c r="C448" s="117" t="s">
        <v>1312</v>
      </c>
      <c r="D448" s="118" t="s">
        <v>1313</v>
      </c>
      <c r="E448" s="118"/>
      <c r="F448" s="118" t="s">
        <v>623</v>
      </c>
      <c r="G448" s="117" t="s">
        <v>26</v>
      </c>
      <c r="H448" s="41" t="s">
        <v>79</v>
      </c>
      <c r="I448" s="121" t="s">
        <v>1314</v>
      </c>
      <c r="J448" s="42" t="str">
        <f>IFERROR(__xludf.DUMMYFUNCTION("GOOGLETRANSLATE(I448,""en"",""pl"")"),"1/2,8"" 2MP CMOS z modułem obiektywu stałoogniskowego 1,6 mm do XNB-6001, pole widzenia: poziomo: 187˚, pionowo: 113,9˚, 0,03 luksa, WDR (120 dB), elektryczny dzień i noc")</f>
        <v>1/2,8" 2MP CMOS z modułem obiektywu stałoogniskowego 1,6 mm do XNB-6001, pole widzenia: poziomo: 187˚, pionowo: 113,9˚, 0,03 luksa, WDR (120 dB), elektryczny dzień i noc</v>
      </c>
      <c r="K448" s="43" t="s">
        <v>21</v>
      </c>
      <c r="L448" s="44">
        <v>287.0</v>
      </c>
      <c r="M448" s="8"/>
      <c r="N448" s="45" t="s">
        <v>22</v>
      </c>
      <c r="O448" s="97"/>
      <c r="P448" s="36"/>
      <c r="Q448" s="35"/>
      <c r="R448" s="68"/>
      <c r="S448" s="68"/>
      <c r="T448" s="68"/>
      <c r="U448" s="35"/>
      <c r="V448" s="35"/>
      <c r="W448" s="35"/>
      <c r="X448" s="35"/>
      <c r="Y448" s="35"/>
      <c r="Z448" s="35"/>
      <c r="AA448" s="35"/>
      <c r="AB448" s="35"/>
      <c r="AC448" s="60"/>
      <c r="AD448" s="85"/>
      <c r="AE448" s="85"/>
      <c r="AF448" s="85"/>
      <c r="AG448" s="85"/>
      <c r="AH448" s="85"/>
      <c r="AI448" s="85"/>
      <c r="AJ448" s="85"/>
      <c r="AK448" s="85"/>
      <c r="AL448" s="85"/>
      <c r="AM448" s="85"/>
      <c r="AN448" s="85"/>
      <c r="AO448" s="85"/>
      <c r="AP448" s="85"/>
    </row>
    <row r="449" ht="69.75" customHeight="1">
      <c r="A449" s="29"/>
      <c r="B449" s="38" t="s">
        <v>26</v>
      </c>
      <c r="C449" s="39" t="s">
        <v>1315</v>
      </c>
      <c r="D449" s="40" t="s">
        <v>1316</v>
      </c>
      <c r="E449" s="40"/>
      <c r="F449" s="40" t="s">
        <v>623</v>
      </c>
      <c r="G449" s="39" t="s">
        <v>26</v>
      </c>
      <c r="H449" s="41" t="s">
        <v>79</v>
      </c>
      <c r="I449" s="48" t="s">
        <v>1317</v>
      </c>
      <c r="J449" s="42" t="str">
        <f>IFERROR(__xludf.DUMMYFUNCTION("GOOGLETRANSLATE(I449,""en"",""pl"")"),"1/2,8"" 2MP CMOS z modułem obiektywu stałoogniskowego 4,6 mm do PNM-9000QB, XNB-6002, pole widzenia: poziomo: 73˚, pionowo: 39˚, 0,06 luksa, WDR (120 dB), elektryczny tryb dzień/noc")</f>
        <v>1/2,8" 2MP CMOS z modułem obiektywu stałoogniskowego 4,6 mm do PNM-9000QB, XNB-6002, pole widzenia: poziomo: 73˚, pionowo: 39˚, 0,06 luksa, WDR (120 dB), elektryczny tryb dzień/noc</v>
      </c>
      <c r="K449" s="43" t="s">
        <v>21</v>
      </c>
      <c r="L449" s="44">
        <v>214.0</v>
      </c>
      <c r="M449" s="8"/>
      <c r="N449" s="45" t="s">
        <v>22</v>
      </c>
      <c r="O449" s="97"/>
      <c r="P449" s="36"/>
      <c r="Q449" s="35"/>
      <c r="R449" s="68"/>
      <c r="S449" s="68"/>
      <c r="T449" s="68"/>
      <c r="U449" s="35"/>
      <c r="V449" s="35"/>
      <c r="W449" s="35"/>
      <c r="X449" s="35"/>
      <c r="Y449" s="35"/>
      <c r="Z449" s="35"/>
      <c r="AA449" s="35"/>
      <c r="AB449" s="35"/>
      <c r="AC449" s="60"/>
      <c r="AD449" s="85"/>
      <c r="AE449" s="85"/>
      <c r="AF449" s="85"/>
      <c r="AG449" s="85"/>
      <c r="AH449" s="85"/>
      <c r="AI449" s="85"/>
      <c r="AJ449" s="85"/>
      <c r="AK449" s="85"/>
      <c r="AL449" s="85"/>
      <c r="AM449" s="85"/>
      <c r="AN449" s="85"/>
      <c r="AO449" s="85"/>
      <c r="AP449" s="85"/>
    </row>
    <row r="450" ht="69.75" customHeight="1">
      <c r="A450" s="29"/>
      <c r="B450" s="38" t="s">
        <v>26</v>
      </c>
      <c r="C450" s="39" t="s">
        <v>1318</v>
      </c>
      <c r="D450" s="40" t="s">
        <v>1319</v>
      </c>
      <c r="E450" s="40"/>
      <c r="F450" s="40" t="s">
        <v>623</v>
      </c>
      <c r="G450" s="39" t="s">
        <v>26</v>
      </c>
      <c r="H450" s="41" t="s">
        <v>79</v>
      </c>
      <c r="I450" s="48" t="s">
        <v>1317</v>
      </c>
      <c r="J450" s="42" t="str">
        <f>IFERROR(__xludf.DUMMYFUNCTION("GOOGLETRANSLATE(I450,""en"",""pl"")"),"1/2,8"" 2MP CMOS z modułem obiektywu stałoogniskowego 4,6 mm do PNM-9000QB, XNB-6002, pole widzenia: poziomo: 73˚, pionowo: 39˚, 0,06 luksa, WDR (120 dB), elektryczny tryb dzień/noc")</f>
        <v>1/2,8" 2MP CMOS z modułem obiektywu stałoogniskowego 4,6 mm do PNM-9000QB, XNB-6002, pole widzenia: poziomo: 73˚, pionowo: 39˚, 0,06 luksa, WDR (120 dB), elektryczny tryb dzień/noc</v>
      </c>
      <c r="K450" s="43" t="s">
        <v>21</v>
      </c>
      <c r="L450" s="44">
        <v>214.0</v>
      </c>
      <c r="M450" s="8"/>
      <c r="N450" s="45" t="s">
        <v>22</v>
      </c>
      <c r="O450" s="97"/>
      <c r="P450" s="36"/>
      <c r="Q450" s="35"/>
      <c r="R450" s="68"/>
      <c r="S450" s="68"/>
      <c r="T450" s="68"/>
      <c r="U450" s="35"/>
      <c r="V450" s="35"/>
      <c r="W450" s="35"/>
      <c r="X450" s="35"/>
      <c r="Y450" s="35"/>
      <c r="Z450" s="35"/>
      <c r="AA450" s="35"/>
      <c r="AB450" s="35"/>
      <c r="AC450" s="60"/>
      <c r="AD450" s="85"/>
      <c r="AE450" s="85"/>
      <c r="AF450" s="85"/>
      <c r="AG450" s="85"/>
      <c r="AH450" s="85"/>
      <c r="AI450" s="85"/>
      <c r="AJ450" s="85"/>
      <c r="AK450" s="85"/>
      <c r="AL450" s="85"/>
      <c r="AM450" s="85"/>
      <c r="AN450" s="85"/>
      <c r="AO450" s="85"/>
      <c r="AP450" s="85"/>
    </row>
    <row r="451" ht="69.75" customHeight="1">
      <c r="A451" s="29"/>
      <c r="B451" s="38" t="s">
        <v>26</v>
      </c>
      <c r="C451" s="39" t="s">
        <v>1320</v>
      </c>
      <c r="D451" s="40" t="s">
        <v>1321</v>
      </c>
      <c r="E451" s="40"/>
      <c r="F451" s="40" t="s">
        <v>623</v>
      </c>
      <c r="G451" s="39" t="s">
        <v>26</v>
      </c>
      <c r="H451" s="41" t="s">
        <v>79</v>
      </c>
      <c r="I451" s="48" t="s">
        <v>1322</v>
      </c>
      <c r="J451" s="42" t="str">
        <f>IFERROR(__xludf.DUMMYFUNCTION("GOOGLETRANSLATE(I451,""en"",""pl"")"),"1/2,8"" 2MP CMOS z modułem obiektywu stałoogniskowego 2,4 mm do PNM-9000QB, XNB-6002, pole widzenia: poziomo: 138˚, pionowo: 73˚, 0,45 luksa, WDR (120 dB), elektryczny tryb dzień/noc")</f>
        <v>1/2,8" 2MP CMOS z modułem obiektywu stałoogniskowego 2,4 mm do PNM-9000QB, XNB-6002, pole widzenia: poziomo: 138˚, pionowo: 73˚, 0,45 luksa, WDR (120 dB), elektryczny tryb dzień/noc</v>
      </c>
      <c r="K451" s="43" t="s">
        <v>21</v>
      </c>
      <c r="L451" s="44">
        <v>214.0</v>
      </c>
      <c r="M451" s="8"/>
      <c r="N451" s="45" t="s">
        <v>22</v>
      </c>
      <c r="O451" s="97"/>
      <c r="P451" s="36"/>
      <c r="Q451" s="35"/>
      <c r="R451" s="68"/>
      <c r="S451" s="68"/>
      <c r="T451" s="68"/>
      <c r="U451" s="35"/>
      <c r="V451" s="35"/>
      <c r="W451" s="35"/>
      <c r="X451" s="35"/>
      <c r="Y451" s="35"/>
      <c r="Z451" s="35"/>
      <c r="AA451" s="35"/>
      <c r="AB451" s="35"/>
      <c r="AC451" s="60"/>
      <c r="AD451" s="85"/>
      <c r="AE451" s="85"/>
      <c r="AF451" s="85"/>
      <c r="AG451" s="85"/>
      <c r="AH451" s="85"/>
      <c r="AI451" s="85"/>
      <c r="AJ451" s="85"/>
      <c r="AK451" s="85"/>
      <c r="AL451" s="85"/>
      <c r="AM451" s="85"/>
      <c r="AN451" s="85"/>
      <c r="AO451" s="85"/>
      <c r="AP451" s="85"/>
    </row>
    <row r="452" ht="69.75" customHeight="1">
      <c r="A452" s="29"/>
      <c r="B452" s="38" t="s">
        <v>26</v>
      </c>
      <c r="C452" s="39" t="s">
        <v>1323</v>
      </c>
      <c r="D452" s="40" t="s">
        <v>1324</v>
      </c>
      <c r="E452" s="40"/>
      <c r="F452" s="40" t="s">
        <v>623</v>
      </c>
      <c r="G452" s="39" t="s">
        <v>26</v>
      </c>
      <c r="H452" s="41" t="s">
        <v>79</v>
      </c>
      <c r="I452" s="48" t="s">
        <v>1322</v>
      </c>
      <c r="J452" s="42" t="str">
        <f>IFERROR(__xludf.DUMMYFUNCTION("GOOGLETRANSLATE(I452,""en"",""pl"")"),"1/2,8"" 2MP CMOS z modułem obiektywu stałoogniskowego 2,4 mm do PNM-9000QB, XNB-6002, pole widzenia: poziomo: 138˚, pionowo: 73˚, 0,45 luksa, WDR (120 dB), elektryczny tryb dzień/noc")</f>
        <v>1/2,8" 2MP CMOS z modułem obiektywu stałoogniskowego 2,4 mm do PNM-9000QB, XNB-6002, pole widzenia: poziomo: 138˚, pionowo: 73˚, 0,45 luksa, WDR (120 dB), elektryczny tryb dzień/noc</v>
      </c>
      <c r="K452" s="43" t="s">
        <v>21</v>
      </c>
      <c r="L452" s="44">
        <v>214.0</v>
      </c>
      <c r="M452" s="8"/>
      <c r="N452" s="45" t="s">
        <v>22</v>
      </c>
      <c r="O452" s="97"/>
      <c r="P452" s="36"/>
      <c r="Q452" s="35"/>
      <c r="R452" s="68"/>
      <c r="S452" s="68"/>
      <c r="T452" s="68"/>
      <c r="U452" s="35"/>
      <c r="V452" s="35"/>
      <c r="W452" s="35"/>
      <c r="X452" s="35"/>
      <c r="Y452" s="35"/>
      <c r="Z452" s="35"/>
      <c r="AA452" s="35"/>
      <c r="AB452" s="35"/>
      <c r="AC452" s="60"/>
      <c r="AD452" s="85"/>
      <c r="AE452" s="85"/>
      <c r="AF452" s="85"/>
      <c r="AG452" s="85"/>
      <c r="AH452" s="85"/>
      <c r="AI452" s="85"/>
      <c r="AJ452" s="85"/>
      <c r="AK452" s="85"/>
      <c r="AL452" s="85"/>
      <c r="AM452" s="85"/>
      <c r="AN452" s="85"/>
      <c r="AO452" s="85"/>
      <c r="AP452" s="85"/>
    </row>
    <row r="453" ht="69.75" customHeight="1">
      <c r="A453" s="29"/>
      <c r="B453" s="38" t="s">
        <v>26</v>
      </c>
      <c r="C453" s="39" t="s">
        <v>1325</v>
      </c>
      <c r="D453" s="40" t="s">
        <v>1326</v>
      </c>
      <c r="E453" s="40"/>
      <c r="F453" s="40" t="s">
        <v>623</v>
      </c>
      <c r="G453" s="39" t="s">
        <v>26</v>
      </c>
      <c r="H453" s="41" t="s">
        <v>79</v>
      </c>
      <c r="I453" s="48" t="s">
        <v>1327</v>
      </c>
      <c r="J453" s="42" t="str">
        <f>IFERROR(__xludf.DUMMYFUNCTION("GOOGLETRANSLATE(I453,""en"",""pl"")"),"1/2,8"" 2MP CMOS z modułem obiektywu stałoogniskowego 1,6 mm do PNM-9000QB, XNB-6002, pole widzenia: poziomo: 187˚, pionowo: 113,9˚, 0,03 luksa, WDR (120 dB), elektryczny tryb dzień/noc")</f>
        <v>1/2,8" 2MP CMOS z modułem obiektywu stałoogniskowego 1,6 mm do PNM-9000QB, XNB-6002, pole widzenia: poziomo: 187˚, pionowo: 113,9˚, 0,03 luksa, WDR (120 dB), elektryczny tryb dzień/noc</v>
      </c>
      <c r="K453" s="43" t="s">
        <v>21</v>
      </c>
      <c r="L453" s="44">
        <v>287.0</v>
      </c>
      <c r="M453" s="8"/>
      <c r="N453" s="45" t="s">
        <v>22</v>
      </c>
      <c r="O453" s="97"/>
      <c r="P453" s="36"/>
      <c r="Q453" s="35"/>
      <c r="R453" s="68"/>
      <c r="S453" s="68"/>
      <c r="T453" s="68"/>
      <c r="U453" s="35"/>
      <c r="V453" s="35"/>
      <c r="W453" s="35"/>
      <c r="X453" s="35"/>
      <c r="Y453" s="35"/>
      <c r="Z453" s="35"/>
      <c r="AA453" s="35"/>
      <c r="AB453" s="35"/>
      <c r="AC453" s="60"/>
      <c r="AD453" s="85"/>
      <c r="AE453" s="85"/>
      <c r="AF453" s="85"/>
      <c r="AG453" s="85"/>
      <c r="AH453" s="85"/>
      <c r="AI453" s="85"/>
      <c r="AJ453" s="85"/>
      <c r="AK453" s="85"/>
      <c r="AL453" s="85"/>
      <c r="AM453" s="85"/>
      <c r="AN453" s="85"/>
      <c r="AO453" s="85"/>
      <c r="AP453" s="85"/>
    </row>
    <row r="454" ht="69.75" customHeight="1">
      <c r="A454" s="29"/>
      <c r="B454" s="38" t="s">
        <v>26</v>
      </c>
      <c r="C454" s="39" t="s">
        <v>1328</v>
      </c>
      <c r="D454" s="40" t="s">
        <v>1329</v>
      </c>
      <c r="E454" s="40"/>
      <c r="F454" s="40" t="s">
        <v>623</v>
      </c>
      <c r="G454" s="39" t="s">
        <v>26</v>
      </c>
      <c r="H454" s="41" t="s">
        <v>79</v>
      </c>
      <c r="I454" s="48" t="s">
        <v>1330</v>
      </c>
      <c r="J454" s="42" t="str">
        <f>IFERROR(__xludf.DUMMYFUNCTION("GOOGLETRANSLATE(I454,""en"",""pl"")"),"Moduł obiektywu otworkowego 2MP do montażu na ościeżnicy drzwi z obiektywem stałym 4,6 mm, kompatybilny z XNB-6001 (brak w zestawie), pole widzenia: poziom: 73˚, pion: 39˚, 0,06 luksa, WDR (120 dB), elektryczny dzień i noc, kolor czarny")</f>
        <v>Moduł obiektywu otworkowego 2MP do montażu na ościeżnicy drzwi z obiektywem stałym 4,6 mm, kompatybilny z XNB-6001 (brak w zestawie), pole widzenia: poziom: 73˚, pion: 39˚, 0,06 luksa, WDR (120 dB), elektryczny dzień i noc, kolor czarny</v>
      </c>
      <c r="K454" s="43" t="s">
        <v>21</v>
      </c>
      <c r="L454" s="44">
        <v>250.0</v>
      </c>
      <c r="M454" s="8"/>
      <c r="N454" s="45" t="s">
        <v>22</v>
      </c>
      <c r="O454" s="97"/>
      <c r="P454" s="36"/>
      <c r="Q454" s="35"/>
      <c r="R454" s="68"/>
      <c r="S454" s="68"/>
      <c r="T454" s="68"/>
      <c r="U454" s="35"/>
      <c r="V454" s="35"/>
      <c r="W454" s="35"/>
      <c r="X454" s="35"/>
      <c r="Y454" s="35"/>
      <c r="Z454" s="35"/>
      <c r="AA454" s="35"/>
      <c r="AB454" s="35"/>
      <c r="AC454" s="60"/>
      <c r="AD454" s="85"/>
      <c r="AE454" s="85"/>
      <c r="AF454" s="85"/>
      <c r="AG454" s="85"/>
      <c r="AH454" s="85"/>
      <c r="AI454" s="85"/>
      <c r="AJ454" s="85"/>
      <c r="AK454" s="85"/>
      <c r="AL454" s="85"/>
      <c r="AM454" s="85"/>
      <c r="AN454" s="85"/>
      <c r="AO454" s="85"/>
      <c r="AP454" s="85"/>
    </row>
    <row r="455" ht="69.75" customHeight="1">
      <c r="A455" s="29"/>
      <c r="B455" s="38" t="s">
        <v>26</v>
      </c>
      <c r="C455" s="39" t="s">
        <v>1331</v>
      </c>
      <c r="D455" s="40" t="s">
        <v>1332</v>
      </c>
      <c r="E455" s="40"/>
      <c r="F455" s="40" t="s">
        <v>623</v>
      </c>
      <c r="G455" s="39" t="s">
        <v>26</v>
      </c>
      <c r="H455" s="41" t="s">
        <v>79</v>
      </c>
      <c r="I455" s="48" t="s">
        <v>1333</v>
      </c>
      <c r="J455" s="42" t="str">
        <f>IFERROR(__xludf.DUMMYFUNCTION("GOOGLETRANSLATE(I455,""en"",""pl"")"),"Moduł obiektywu otworkowego 2MP do montażu na ościeżnicy drzwi z obiektywem stałym 4,6 mm, kompatybilny z XNB-6001 (brak w zestawie), pole widzenia: poziom: 73˚, pion: 39˚, 0,06 luksa, WDR (120 dB), elektryczny dzień i noc, kolor srebrny")</f>
        <v>Moduł obiektywu otworkowego 2MP do montażu na ościeżnicy drzwi z obiektywem stałym 4,6 mm, kompatybilny z XNB-6001 (brak w zestawie), pole widzenia: poziom: 73˚, pion: 39˚, 0,06 luksa, WDR (120 dB), elektryczny dzień i noc, kolor srebrny</v>
      </c>
      <c r="K455" s="43" t="s">
        <v>21</v>
      </c>
      <c r="L455" s="44">
        <v>250.0</v>
      </c>
      <c r="M455" s="8"/>
      <c r="N455" s="45" t="s">
        <v>22</v>
      </c>
      <c r="O455" s="97"/>
      <c r="P455" s="36"/>
      <c r="Q455" s="35"/>
      <c r="R455" s="68"/>
      <c r="S455" s="68"/>
      <c r="T455" s="68"/>
      <c r="U455" s="35"/>
      <c r="V455" s="35"/>
      <c r="W455" s="35"/>
      <c r="X455" s="35"/>
      <c r="Y455" s="35"/>
      <c r="Z455" s="35"/>
      <c r="AA455" s="35"/>
      <c r="AB455" s="35"/>
      <c r="AC455" s="60"/>
      <c r="AD455" s="85"/>
      <c r="AE455" s="85"/>
      <c r="AF455" s="85"/>
      <c r="AG455" s="85"/>
      <c r="AH455" s="85"/>
      <c r="AI455" s="85"/>
      <c r="AJ455" s="85"/>
      <c r="AK455" s="85"/>
      <c r="AL455" s="85"/>
      <c r="AM455" s="85"/>
      <c r="AN455" s="85"/>
      <c r="AO455" s="85"/>
      <c r="AP455" s="85"/>
    </row>
    <row r="456" ht="69.75" customHeight="1">
      <c r="A456" s="29"/>
      <c r="B456" s="38" t="s">
        <v>26</v>
      </c>
      <c r="C456" s="39" t="s">
        <v>1334</v>
      </c>
      <c r="D456" s="40" t="s">
        <v>1335</v>
      </c>
      <c r="E456" s="40"/>
      <c r="F456" s="40" t="s">
        <v>623</v>
      </c>
      <c r="G456" s="39" t="s">
        <v>26</v>
      </c>
      <c r="H456" s="41" t="s">
        <v>79</v>
      </c>
      <c r="I456" s="48" t="s">
        <v>1336</v>
      </c>
      <c r="J456" s="42" t="str">
        <f>IFERROR(__xludf.DUMMYFUNCTION("GOOGLETRANSLATE(I456,""en"",""pl"")"),"Moduł obiektywu otworkowego 2MP do montażu na ościeżnicy drzwi z obiektywem stałym 4,6 mm, kompatybilny z XNB-6001 (brak w zestawie), pole widzenia: poziom: 73˚, pion: 39˚, 0,06 luksa, WDR (120 dB), elektryczny dzień i noc, kolor biały")</f>
        <v>Moduł obiektywu otworkowego 2MP do montażu na ościeżnicy drzwi z obiektywem stałym 4,6 mm, kompatybilny z XNB-6001 (brak w zestawie), pole widzenia: poziom: 73˚, pion: 39˚, 0,06 luksa, WDR (120 dB), elektryczny dzień i noc, kolor biały</v>
      </c>
      <c r="K456" s="43" t="s">
        <v>21</v>
      </c>
      <c r="L456" s="44">
        <v>250.0</v>
      </c>
      <c r="M456" s="8"/>
      <c r="N456" s="45" t="s">
        <v>22</v>
      </c>
      <c r="O456" s="97"/>
      <c r="P456" s="36"/>
      <c r="Q456" s="35"/>
      <c r="R456" s="68"/>
      <c r="S456" s="68"/>
      <c r="T456" s="68"/>
      <c r="U456" s="35"/>
      <c r="V456" s="35"/>
      <c r="W456" s="35"/>
      <c r="X456" s="35"/>
      <c r="Y456" s="35"/>
      <c r="Z456" s="35"/>
      <c r="AA456" s="35"/>
      <c r="AB456" s="35"/>
      <c r="AC456" s="60"/>
      <c r="AD456" s="85"/>
      <c r="AE456" s="85"/>
      <c r="AF456" s="85"/>
      <c r="AG456" s="85"/>
      <c r="AH456" s="85"/>
      <c r="AI456" s="85"/>
      <c r="AJ456" s="85"/>
      <c r="AK456" s="85"/>
      <c r="AL456" s="85"/>
      <c r="AM456" s="85"/>
      <c r="AN456" s="85"/>
      <c r="AO456" s="85"/>
      <c r="AP456" s="85"/>
    </row>
    <row r="457" ht="69.75" customHeight="1">
      <c r="A457" s="29"/>
      <c r="B457" s="38" t="s">
        <v>26</v>
      </c>
      <c r="C457" s="39" t="s">
        <v>1337</v>
      </c>
      <c r="D457" s="40" t="s">
        <v>1338</v>
      </c>
      <c r="E457" s="40"/>
      <c r="F457" s="40" t="s">
        <v>623</v>
      </c>
      <c r="G457" s="39" t="s">
        <v>26</v>
      </c>
      <c r="H457" s="41" t="s">
        <v>79</v>
      </c>
      <c r="I457" s="48" t="s">
        <v>1339</v>
      </c>
      <c r="J457" s="42" t="str">
        <f>IFERROR(__xludf.DUMMYFUNCTION("GOOGLETRANSLATE(I457,""en"",""pl"")"),"1/2,8"" 2MP CMOS z modułem obiektywu stałoogniskowego 2,4 mm, pole widzenia (FOV): poziom: 138˚, pion: 73˚, kolor: 0,045 luksa (F2.0, 1/30 s, 30IRE)
Czarno-biały: 0,045 luksa (F2.0, 1/30 s, 30IRE) z PNM-9000QB, XNB-6002, wymiary / waga produktu: ø24 x 49,"&amp;"8 mm (ø0,94 x 1,96""),
101 g (0,22 funta), IP66, NEMA 4X, kompatybilny z PNM-9000QB, XNB-6002")</f>
        <v>1/2,8" 2MP CMOS z modułem obiektywu stałoogniskowego 2,4 mm, pole widzenia (FOV): poziom: 138˚, pion: 73˚, kolor: 0,045 luksa (F2.0, 1/30 s, 30IRE)
Czarno-biały: 0,045 luksa (F2.0, 1/30 s, 30IRE) z PNM-9000QB, XNB-6002, wymiary / waga produktu: ø24 x 49,8 mm (ø0,94 x 1,96"),
101 g (0,22 funta), IP66, NEMA 4X, kompatybilny z PNM-9000QB, XNB-6002</v>
      </c>
      <c r="K457" s="43" t="s">
        <v>21</v>
      </c>
      <c r="L457" s="44">
        <v>275.0</v>
      </c>
      <c r="M457" s="8"/>
      <c r="N457" s="45" t="s">
        <v>22</v>
      </c>
      <c r="O457" s="97"/>
      <c r="P457" s="36"/>
      <c r="Q457" s="35"/>
      <c r="R457" s="68"/>
      <c r="S457" s="68"/>
      <c r="T457" s="68"/>
      <c r="U457" s="35"/>
      <c r="V457" s="35"/>
      <c r="W457" s="35"/>
      <c r="X457" s="35"/>
      <c r="Y457" s="35"/>
      <c r="Z457" s="35"/>
      <c r="AA457" s="35"/>
      <c r="AB457" s="35"/>
      <c r="AC457" s="60"/>
      <c r="AD457" s="85"/>
      <c r="AE457" s="85"/>
      <c r="AF457" s="85"/>
      <c r="AG457" s="85"/>
      <c r="AH457" s="85"/>
      <c r="AI457" s="85"/>
      <c r="AJ457" s="85"/>
      <c r="AK457" s="85"/>
      <c r="AL457" s="85"/>
      <c r="AM457" s="85"/>
      <c r="AN457" s="85"/>
      <c r="AO457" s="85"/>
      <c r="AP457" s="85"/>
    </row>
    <row r="458" ht="69.75" customHeight="1">
      <c r="A458" s="29"/>
      <c r="B458" s="38" t="s">
        <v>26</v>
      </c>
      <c r="C458" s="39" t="s">
        <v>1340</v>
      </c>
      <c r="D458" s="40" t="s">
        <v>1341</v>
      </c>
      <c r="E458" s="40"/>
      <c r="F458" s="40" t="s">
        <v>623</v>
      </c>
      <c r="G458" s="39" t="s">
        <v>26</v>
      </c>
      <c r="H458" s="41" t="s">
        <v>79</v>
      </c>
      <c r="I458" s="48" t="s">
        <v>1342</v>
      </c>
      <c r="J458" s="42" t="str">
        <f>IFERROR(__xludf.DUMMYFUNCTION("GOOGLETRANSLATE(I458,""en"",""pl"")"),"1/2,8"" 2MP CMOS z modułem obiektywu stałoogniskowego 2,4 mm, pole widzenia (FOV): poziom: 138˚, pion: 73˚, kolor: 0,045 luksa (F2.0, 1/30 s, 30IRE)
Czarno-biały: 0,045 luksa (F2.0, 1/30 s, 30IRE) z PNM-9000QB, XNB-6002, wymiary / waga produktu: ø110,0 x "&amp;"77,0 mm (ø3,54 x 2,36 cala), 450 g (0,99 funta), EN IEC 63000, IEC 60529 IP66, IEC 62262 IK10, NEMA 250 typ 4X, kompatybilny z PNM-9000QB, XNB-6002")</f>
        <v>1/2,8" 2MP CMOS z modułem obiektywu stałoogniskowego 2,4 mm, pole widzenia (FOV): poziom: 138˚, pion: 73˚, kolor: 0,045 luksa (F2.0, 1/30 s, 30IRE)
Czarno-biały: 0,045 luksa (F2.0, 1/30 s, 30IRE) z PNM-9000QB, XNB-6002, wymiary / waga produktu: ø110,0 x 77,0 mm (ø3,54 x 2,36 cala), 450 g (0,99 funta), EN IEC 63000, IEC 60529 IP66, IEC 62262 IK10, NEMA 250 typ 4X, kompatybilny z PNM-9000QB, XNB-6002</v>
      </c>
      <c r="K458" s="43" t="s">
        <v>21</v>
      </c>
      <c r="L458" s="44">
        <v>275.0</v>
      </c>
      <c r="M458" s="8"/>
      <c r="N458" s="45" t="s">
        <v>22</v>
      </c>
      <c r="O458" s="97"/>
      <c r="P458" s="36"/>
      <c r="Q458" s="35"/>
      <c r="R458" s="68"/>
      <c r="S458" s="68"/>
      <c r="T458" s="68"/>
      <c r="U458" s="35"/>
      <c r="V458" s="35"/>
      <c r="W458" s="35"/>
      <c r="X458" s="35"/>
      <c r="Y458" s="35"/>
      <c r="Z458" s="35"/>
      <c r="AA458" s="35"/>
      <c r="AB458" s="35"/>
      <c r="AC458" s="60"/>
      <c r="AD458" s="85"/>
      <c r="AE458" s="85"/>
      <c r="AF458" s="85"/>
      <c r="AG458" s="85"/>
      <c r="AH458" s="85"/>
      <c r="AI458" s="85"/>
      <c r="AJ458" s="85"/>
      <c r="AK458" s="85"/>
      <c r="AL458" s="85"/>
      <c r="AM458" s="85"/>
      <c r="AN458" s="85"/>
      <c r="AO458" s="85"/>
      <c r="AP458" s="85"/>
    </row>
    <row r="459" ht="69.75" customHeight="1">
      <c r="A459" s="29"/>
      <c r="B459" s="38" t="s">
        <v>26</v>
      </c>
      <c r="C459" s="39" t="s">
        <v>1343</v>
      </c>
      <c r="D459" s="40" t="s">
        <v>1329</v>
      </c>
      <c r="E459" s="40"/>
      <c r="F459" s="40" t="s">
        <v>623</v>
      </c>
      <c r="G459" s="39" t="s">
        <v>26</v>
      </c>
      <c r="H459" s="41" t="s">
        <v>79</v>
      </c>
      <c r="I459" s="48" t="s">
        <v>1344</v>
      </c>
      <c r="J459" s="42" t="str">
        <f>IFERROR(__xludf.DUMMYFUNCTION("GOOGLETRANSLATE(I459,""en"",""pl"")"),"Moduł obiektywu otworkowego 2MP do montażu na ościeżnicy drzwi z obiektywem stałym 4,6 mm, kompatybilny z XNB-6002 (brak w zestawie), pole widzenia: poziom: 73˚, pion: 39˚, 0,06 luksa, WDR (120 dB), elektryczny dzień i noc, kolor czarny, kompatybilny z PN"&amp;"M-9000QB, XNB-6002, XNB-6001")</f>
        <v>Moduł obiektywu otworkowego 2MP do montażu na ościeżnicy drzwi z obiektywem stałym 4,6 mm, kompatybilny z XNB-6002 (brak w zestawie), pole widzenia: poziom: 73˚, pion: 39˚, 0,06 luksa, WDR (120 dB), elektryczny dzień i noc, kolor czarny, kompatybilny z PNM-9000QB, XNB-6002, XNB-6001</v>
      </c>
      <c r="K459" s="43" t="s">
        <v>21</v>
      </c>
      <c r="L459" s="44">
        <v>270.0</v>
      </c>
      <c r="M459" s="8"/>
      <c r="N459" s="45" t="s">
        <v>22</v>
      </c>
      <c r="O459" s="97"/>
      <c r="P459" s="36"/>
      <c r="Q459" s="35"/>
      <c r="R459" s="68"/>
      <c r="S459" s="68"/>
      <c r="T459" s="68"/>
      <c r="U459" s="35"/>
      <c r="V459" s="35"/>
      <c r="W459" s="35"/>
      <c r="X459" s="35"/>
      <c r="Y459" s="35"/>
      <c r="Z459" s="35"/>
      <c r="AA459" s="35"/>
      <c r="AB459" s="35"/>
      <c r="AC459" s="60"/>
      <c r="AD459" s="85"/>
      <c r="AE459" s="85"/>
      <c r="AF459" s="85"/>
      <c r="AG459" s="85"/>
      <c r="AH459" s="85"/>
      <c r="AI459" s="85"/>
      <c r="AJ459" s="85"/>
      <c r="AK459" s="85"/>
      <c r="AL459" s="85"/>
      <c r="AM459" s="85"/>
      <c r="AN459" s="85"/>
      <c r="AO459" s="85"/>
      <c r="AP459" s="85"/>
    </row>
    <row r="460" ht="69.75" customHeight="1">
      <c r="A460" s="29"/>
      <c r="B460" s="38" t="s">
        <v>26</v>
      </c>
      <c r="C460" s="39" t="s">
        <v>1345</v>
      </c>
      <c r="D460" s="40" t="s">
        <v>1332</v>
      </c>
      <c r="E460" s="40"/>
      <c r="F460" s="40" t="s">
        <v>623</v>
      </c>
      <c r="G460" s="39" t="s">
        <v>26</v>
      </c>
      <c r="H460" s="41" t="s">
        <v>79</v>
      </c>
      <c r="I460" s="48" t="s">
        <v>1346</v>
      </c>
      <c r="J460" s="42" t="str">
        <f>IFERROR(__xludf.DUMMYFUNCTION("GOOGLETRANSLATE(I460,""en"",""pl"")"),"Moduł obiektywu otworkowego 2MP do montażu na ościeżnicy drzwi z obiektywem stałym 4,6 mm, kompatybilny z XNB-6002 (brak w zestawie), pole widzenia: poziom: 73˚, pion: 39˚, 0,06 luksa, WDR (120 dB), elektryczny dzień i noc, kolor srebrny, kompatybilny z P"&amp;"NM-9000QB, XNB-6002, XNB-6001")</f>
        <v>Moduł obiektywu otworkowego 2MP do montażu na ościeżnicy drzwi z obiektywem stałym 4,6 mm, kompatybilny z XNB-6002 (brak w zestawie), pole widzenia: poziom: 73˚, pion: 39˚, 0,06 luksa, WDR (120 dB), elektryczny dzień i noc, kolor srebrny, kompatybilny z PNM-9000QB, XNB-6002, XNB-6001</v>
      </c>
      <c r="K460" s="43" t="s">
        <v>21</v>
      </c>
      <c r="L460" s="44">
        <v>270.0</v>
      </c>
      <c r="M460" s="8"/>
      <c r="N460" s="45" t="s">
        <v>22</v>
      </c>
      <c r="O460" s="97"/>
      <c r="P460" s="36"/>
      <c r="Q460" s="35"/>
      <c r="R460" s="68"/>
      <c r="S460" s="68"/>
      <c r="T460" s="68"/>
      <c r="U460" s="35"/>
      <c r="V460" s="35"/>
      <c r="W460" s="35"/>
      <c r="X460" s="35"/>
      <c r="Y460" s="35"/>
      <c r="Z460" s="35"/>
      <c r="AA460" s="35"/>
      <c r="AB460" s="35"/>
      <c r="AC460" s="60"/>
      <c r="AD460" s="85"/>
      <c r="AE460" s="85"/>
      <c r="AF460" s="85"/>
      <c r="AG460" s="85"/>
      <c r="AH460" s="85"/>
      <c r="AI460" s="85"/>
      <c r="AJ460" s="85"/>
      <c r="AK460" s="85"/>
      <c r="AL460" s="85"/>
      <c r="AM460" s="85"/>
      <c r="AN460" s="85"/>
      <c r="AO460" s="85"/>
      <c r="AP460" s="85"/>
    </row>
    <row r="461" ht="69.75" customHeight="1">
      <c r="A461" s="29"/>
      <c r="B461" s="38" t="s">
        <v>26</v>
      </c>
      <c r="C461" s="39" t="s">
        <v>1347</v>
      </c>
      <c r="D461" s="40" t="s">
        <v>1348</v>
      </c>
      <c r="E461" s="40"/>
      <c r="F461" s="40" t="s">
        <v>414</v>
      </c>
      <c r="G461" s="39" t="s">
        <v>26</v>
      </c>
      <c r="H461" s="41" t="s">
        <v>79</v>
      </c>
      <c r="I461" s="48" t="s">
        <v>1349</v>
      </c>
      <c r="J461" s="42" t="str">
        <f>IFERROR(__xludf.DUMMYFUNCTION("GOOGLETRANSLATE(I461,""en"",""pl"")"),"5 MP @15 kl./s, moduł obiektywu stałoogniskowego 1,6 mm, pole widzenia (poziomo: 180°, pionowo: 145°), kompatybilny z PNM-C20000QB, prosta obudowa, w zestawie kabel 8 m (26 stóp), do użytku wewnątrz pomieszczeń")</f>
        <v>5 MP @15 kl./s, moduł obiektywu stałoogniskowego 1,6 mm, pole widzenia (poziomo: 180°, pionowo: 145°), kompatybilny z PNM-C20000QB, prosta obudowa, w zestawie kabel 8 m (26 stóp), do użytku wewnątrz pomieszczeń</v>
      </c>
      <c r="K461" s="43" t="s">
        <v>21</v>
      </c>
      <c r="L461" s="44">
        <v>372.0</v>
      </c>
      <c r="M461" s="8"/>
      <c r="N461" s="45" t="s">
        <v>22</v>
      </c>
      <c r="O461" s="97"/>
      <c r="P461" s="36"/>
      <c r="Q461" s="35"/>
      <c r="R461" s="68"/>
      <c r="S461" s="68"/>
      <c r="T461" s="68"/>
      <c r="U461" s="35"/>
      <c r="V461" s="35"/>
      <c r="W461" s="35"/>
      <c r="X461" s="35"/>
      <c r="Y461" s="35"/>
      <c r="Z461" s="35"/>
      <c r="AA461" s="35"/>
      <c r="AB461" s="35"/>
      <c r="AC461" s="60"/>
      <c r="AD461" s="85"/>
      <c r="AE461" s="85"/>
      <c r="AF461" s="85"/>
      <c r="AG461" s="85"/>
      <c r="AH461" s="85"/>
      <c r="AI461" s="85"/>
      <c r="AJ461" s="85"/>
      <c r="AK461" s="85"/>
      <c r="AL461" s="85"/>
      <c r="AM461" s="85"/>
      <c r="AN461" s="85"/>
      <c r="AO461" s="85"/>
      <c r="AP461" s="85"/>
    </row>
    <row r="462" ht="69.75" customHeight="1">
      <c r="A462" s="29"/>
      <c r="B462" s="38" t="s">
        <v>26</v>
      </c>
      <c r="C462" s="39" t="s">
        <v>1350</v>
      </c>
      <c r="D462" s="40" t="s">
        <v>1351</v>
      </c>
      <c r="E462" s="40"/>
      <c r="F462" s="40" t="s">
        <v>414</v>
      </c>
      <c r="G462" s="39" t="s">
        <v>26</v>
      </c>
      <c r="H462" s="41" t="s">
        <v>79</v>
      </c>
      <c r="I462" s="48" t="s">
        <v>1352</v>
      </c>
      <c r="J462" s="42" t="str">
        <f>IFERROR(__xludf.DUMMYFUNCTION("GOOGLETRANSLATE(I462,""en"",""pl"")"),"5 MP @15 kl./s, moduł obiektywu stałoogniskowego 2,4 mm z certyfikatem do użytku na zewnątrz, prosta obudowa, pole widzenia (poziomo: 123°, pionowo: 91°), kompatybilny z PNM-C20000QB, w zestawie kabel 8 m (26 stóp), IP66, NEMA 4X, IK10, temperatura pracy "&amp;"od -30°C do +55°C (od -22°F do +131°F)")</f>
        <v>5 MP @15 kl./s, moduł obiektywu stałoogniskowego 2,4 mm z certyfikatem do użytku na zewnątrz, prosta obudowa, pole widzenia (poziomo: 123°, pionowo: 91°), kompatybilny z PNM-C20000QB, w zestawie kabel 8 m (26 stóp), IP66, NEMA 4X, IK10, temperatura pracy od -30°C do +55°C (od -22°F do +131°F)</v>
      </c>
      <c r="K462" s="43" t="s">
        <v>21</v>
      </c>
      <c r="L462" s="44">
        <v>330.0</v>
      </c>
      <c r="M462" s="8"/>
      <c r="N462" s="45" t="s">
        <v>22</v>
      </c>
      <c r="O462" s="97"/>
      <c r="P462" s="36"/>
      <c r="Q462" s="35"/>
      <c r="R462" s="68"/>
      <c r="S462" s="68"/>
      <c r="T462" s="68"/>
      <c r="U462" s="35"/>
      <c r="V462" s="35"/>
      <c r="W462" s="35"/>
      <c r="X462" s="35"/>
      <c r="Y462" s="35"/>
      <c r="Z462" s="35"/>
      <c r="AA462" s="35"/>
      <c r="AB462" s="35"/>
      <c r="AC462" s="60"/>
      <c r="AD462" s="85"/>
      <c r="AE462" s="85"/>
      <c r="AF462" s="85"/>
      <c r="AG462" s="85"/>
      <c r="AH462" s="85"/>
      <c r="AI462" s="85"/>
      <c r="AJ462" s="85"/>
      <c r="AK462" s="85"/>
      <c r="AL462" s="85"/>
      <c r="AM462" s="85"/>
      <c r="AN462" s="85"/>
      <c r="AO462" s="85"/>
      <c r="AP462" s="85"/>
    </row>
    <row r="463" ht="69.75" customHeight="1">
      <c r="A463" s="29"/>
      <c r="B463" s="38" t="s">
        <v>26</v>
      </c>
      <c r="C463" s="39" t="s">
        <v>1353</v>
      </c>
      <c r="D463" s="40" t="s">
        <v>1354</v>
      </c>
      <c r="E463" s="40"/>
      <c r="F463" s="40" t="s">
        <v>414</v>
      </c>
      <c r="G463" s="39" t="s">
        <v>26</v>
      </c>
      <c r="H463" s="41" t="s">
        <v>79</v>
      </c>
      <c r="I463" s="48" t="s">
        <v>1355</v>
      </c>
      <c r="J463" s="42" t="str">
        <f>IFERROR(__xludf.DUMMYFUNCTION("GOOGLETRANSLATE(I463,""en"",""pl"")"),"5 MP @15 kl./s, moduł obiektywu stałoogniskowego 2,4 mm do użytku na zewnątrz, styl kopułkowy, pole widzenia (poziomo: 123°, pionowo: 91°), kompatybilny z PNM-C20000QB, w zestawie kabel 8 m (26 stóp), IP66, NEMA 4X, IK10, temperatura pracy od -30°C do +55"&amp;"°C (od -22°F do +131°F)")</f>
        <v>5 MP @15 kl./s, moduł obiektywu stałoogniskowego 2,4 mm do użytku na zewnątrz, styl kopułkowy, pole widzenia (poziomo: 123°, pionowo: 91°), kompatybilny z PNM-C20000QB, w zestawie kabel 8 m (26 stóp), IP66, NEMA 4X, IK10, temperatura pracy od -30°C do +55°C (od -22°F do +131°F)</v>
      </c>
      <c r="K463" s="43" t="s">
        <v>21</v>
      </c>
      <c r="L463" s="44">
        <v>324.0</v>
      </c>
      <c r="M463" s="8"/>
      <c r="N463" s="45" t="s">
        <v>22</v>
      </c>
      <c r="O463" s="97"/>
      <c r="P463" s="36"/>
      <c r="Q463" s="35"/>
      <c r="R463" s="68"/>
      <c r="S463" s="68"/>
      <c r="T463" s="68"/>
      <c r="U463" s="35"/>
      <c r="V463" s="35"/>
      <c r="W463" s="35"/>
      <c r="X463" s="35"/>
      <c r="Y463" s="35"/>
      <c r="Z463" s="35"/>
      <c r="AA463" s="35"/>
      <c r="AB463" s="35"/>
      <c r="AC463" s="60"/>
      <c r="AD463" s="85"/>
      <c r="AE463" s="85"/>
      <c r="AF463" s="85"/>
      <c r="AG463" s="85"/>
      <c r="AH463" s="85"/>
      <c r="AI463" s="85"/>
      <c r="AJ463" s="85"/>
      <c r="AK463" s="85"/>
      <c r="AL463" s="85"/>
      <c r="AM463" s="85"/>
      <c r="AN463" s="85"/>
      <c r="AO463" s="85"/>
      <c r="AP463" s="85"/>
    </row>
    <row r="464" ht="69.75" customHeight="1">
      <c r="A464" s="29"/>
      <c r="B464" s="38" t="s">
        <v>26</v>
      </c>
      <c r="C464" s="39" t="s">
        <v>1356</v>
      </c>
      <c r="D464" s="40" t="s">
        <v>1357</v>
      </c>
      <c r="E464" s="40"/>
      <c r="F464" s="40" t="s">
        <v>414</v>
      </c>
      <c r="G464" s="39" t="s">
        <v>26</v>
      </c>
      <c r="H464" s="41" t="s">
        <v>79</v>
      </c>
      <c r="I464" s="48" t="s">
        <v>1358</v>
      </c>
      <c r="J464" s="42" t="str">
        <f>IFERROR(__xludf.DUMMYFUNCTION("GOOGLETRANSLATE(I464,""en"",""pl"")"),"5 MP @15 kl./s, moduł obiektywu stałoogniskowego 2,45 mm, pole widzenia (poziomo: 123°, pionowo: 91°), kompatybilny z PNM-C20000QB, prosta obudowa, w zestawie kabel 8 m (26 stóp), do użytku wewnątrz pomieszczeń")</f>
        <v>5 MP @15 kl./s, moduł obiektywu stałoogniskowego 2,45 mm, pole widzenia (poziomo: 123°, pionowo: 91°), kompatybilny z PNM-C20000QB, prosta obudowa, w zestawie kabel 8 m (26 stóp), do użytku wewnątrz pomieszczeń</v>
      </c>
      <c r="K464" s="43" t="s">
        <v>21</v>
      </c>
      <c r="L464" s="44">
        <v>258.0</v>
      </c>
      <c r="M464" s="8"/>
      <c r="N464" s="45" t="s">
        <v>22</v>
      </c>
      <c r="O464" s="97"/>
      <c r="P464" s="36"/>
      <c r="Q464" s="35"/>
      <c r="R464" s="68"/>
      <c r="S464" s="68"/>
      <c r="T464" s="68"/>
      <c r="U464" s="35"/>
      <c r="V464" s="35"/>
      <c r="W464" s="35"/>
      <c r="X464" s="35"/>
      <c r="Y464" s="35"/>
      <c r="Z464" s="35"/>
      <c r="AA464" s="35"/>
      <c r="AB464" s="35"/>
      <c r="AC464" s="60"/>
      <c r="AD464" s="85"/>
      <c r="AE464" s="85"/>
      <c r="AF464" s="85"/>
      <c r="AG464" s="85"/>
      <c r="AH464" s="85"/>
      <c r="AI464" s="85"/>
      <c r="AJ464" s="85"/>
      <c r="AK464" s="85"/>
      <c r="AL464" s="85"/>
      <c r="AM464" s="85"/>
      <c r="AN464" s="85"/>
      <c r="AO464" s="85"/>
      <c r="AP464" s="85"/>
    </row>
    <row r="465" ht="69.75" customHeight="1">
      <c r="A465" s="29"/>
      <c r="B465" s="38" t="s">
        <v>26</v>
      </c>
      <c r="C465" s="39" t="s">
        <v>1359</v>
      </c>
      <c r="D465" s="40" t="s">
        <v>1360</v>
      </c>
      <c r="E465" s="40"/>
      <c r="F465" s="40" t="s">
        <v>414</v>
      </c>
      <c r="G465" s="39" t="s">
        <v>26</v>
      </c>
      <c r="H465" s="41" t="s">
        <v>79</v>
      </c>
      <c r="I465" s="48" t="s">
        <v>1361</v>
      </c>
      <c r="J465" s="42" t="str">
        <f>IFERROR(__xludf.DUMMYFUNCTION("GOOGLETRANSLATE(I465,""en"",""pl"")"),"5 MP @15 kl./s, moduł obiektywu stałoogniskowego 2,45 mm, pole widzenia (poziomo: 123°, pionowo: 91°), kompatybilny z PNM-C20000QB, obudowa kątowa, w zestawie kabel 8 m (26 stóp), do użytku wewnątrz pomieszczeń")</f>
        <v>5 MP @15 kl./s, moduł obiektywu stałoogniskowego 2,45 mm, pole widzenia (poziomo: 123°, pionowo: 91°), kompatybilny z PNM-C20000QB, obudowa kątowa, w zestawie kabel 8 m (26 stóp), do użytku wewnątrz pomieszczeń</v>
      </c>
      <c r="K465" s="43" t="s">
        <v>21</v>
      </c>
      <c r="L465" s="44">
        <v>258.0</v>
      </c>
      <c r="M465" s="8"/>
      <c r="N465" s="45" t="s">
        <v>22</v>
      </c>
      <c r="O465" s="97"/>
      <c r="P465" s="36"/>
      <c r="Q465" s="35"/>
      <c r="R465" s="68"/>
      <c r="S465" s="68"/>
      <c r="T465" s="68"/>
      <c r="U465" s="35"/>
      <c r="V465" s="35"/>
      <c r="W465" s="35"/>
      <c r="X465" s="35"/>
      <c r="Y465" s="35"/>
      <c r="Z465" s="35"/>
      <c r="AA465" s="35"/>
      <c r="AB465" s="35"/>
      <c r="AC465" s="60"/>
      <c r="AD465" s="85"/>
      <c r="AE465" s="85"/>
      <c r="AF465" s="85"/>
      <c r="AG465" s="85"/>
      <c r="AH465" s="85"/>
      <c r="AI465" s="85"/>
      <c r="AJ465" s="85"/>
      <c r="AK465" s="85"/>
      <c r="AL465" s="85"/>
      <c r="AM465" s="85"/>
      <c r="AN465" s="85"/>
      <c r="AO465" s="85"/>
      <c r="AP465" s="85"/>
    </row>
    <row r="466" ht="69.75" customHeight="1">
      <c r="A466" s="29"/>
      <c r="B466" s="38" t="s">
        <v>26</v>
      </c>
      <c r="C466" s="39" t="s">
        <v>1362</v>
      </c>
      <c r="D466" s="40" t="s">
        <v>1363</v>
      </c>
      <c r="E466" s="40"/>
      <c r="F466" s="40" t="s">
        <v>414</v>
      </c>
      <c r="G466" s="39" t="s">
        <v>26</v>
      </c>
      <c r="H466" s="41" t="s">
        <v>79</v>
      </c>
      <c r="I466" s="48" t="s">
        <v>1364</v>
      </c>
      <c r="J466" s="42" t="str">
        <f>IFERROR(__xludf.DUMMYFUNCTION("GOOGLETRANSLATE(I466,""en"",""pl"")"),"5 MP @15 kl./s, moduł obiektywu stałoogniskowego 4,72 mm, pole widzenia (poziomo: 70°, pionowo: 50°), kompatybilny z PNM-C20000QB, prosta obudowa, w zestawie kabel 8 m (26 stóp), do użytku wewnątrz pomieszczeń")</f>
        <v>5 MP @15 kl./s, moduł obiektywu stałoogniskowego 4,72 mm, pole widzenia (poziomo: 70°, pionowo: 50°), kompatybilny z PNM-C20000QB, prosta obudowa, w zestawie kabel 8 m (26 stóp), do użytku wewnątrz pomieszczeń</v>
      </c>
      <c r="K466" s="43" t="s">
        <v>21</v>
      </c>
      <c r="L466" s="44">
        <v>258.0</v>
      </c>
      <c r="M466" s="8"/>
      <c r="N466" s="45" t="s">
        <v>22</v>
      </c>
      <c r="O466" s="97"/>
      <c r="P466" s="36"/>
      <c r="Q466" s="35"/>
      <c r="R466" s="68"/>
      <c r="S466" s="68"/>
      <c r="T466" s="68"/>
      <c r="U466" s="35"/>
      <c r="V466" s="35"/>
      <c r="W466" s="35"/>
      <c r="X466" s="35"/>
      <c r="Y466" s="35"/>
      <c r="Z466" s="35"/>
      <c r="AA466" s="35"/>
      <c r="AB466" s="35"/>
      <c r="AC466" s="60"/>
      <c r="AD466" s="85"/>
      <c r="AE466" s="85"/>
      <c r="AF466" s="85"/>
      <c r="AG466" s="85"/>
      <c r="AH466" s="85"/>
      <c r="AI466" s="85"/>
      <c r="AJ466" s="85"/>
      <c r="AK466" s="85"/>
      <c r="AL466" s="85"/>
      <c r="AM466" s="85"/>
      <c r="AN466" s="85"/>
      <c r="AO466" s="85"/>
      <c r="AP466" s="85"/>
    </row>
    <row r="467" ht="69.75" customHeight="1">
      <c r="A467" s="29"/>
      <c r="B467" s="38" t="s">
        <v>26</v>
      </c>
      <c r="C467" s="39" t="s">
        <v>1365</v>
      </c>
      <c r="D467" s="40" t="s">
        <v>1366</v>
      </c>
      <c r="E467" s="40"/>
      <c r="F467" s="40" t="s">
        <v>414</v>
      </c>
      <c r="G467" s="39" t="s">
        <v>26</v>
      </c>
      <c r="H467" s="41" t="s">
        <v>79</v>
      </c>
      <c r="I467" s="48" t="s">
        <v>1367</v>
      </c>
      <c r="J467" s="42" t="str">
        <f>IFERROR(__xludf.DUMMYFUNCTION("GOOGLETRANSLATE(I467,""en"",""pl"")"),"5 MP @15 kl./s, moduł obiektywu stałoogniskowego 4,72 mm, pole widzenia (poziomo: 70°, pionowo: 50°), kompatybilny z PNM-C20000QB, obudowa kątowa, w zestawie kabel 8 m (26 stóp), do użytku wewnątrz pomieszczeń")</f>
        <v>5 MP @15 kl./s, moduł obiektywu stałoogniskowego 4,72 mm, pole widzenia (poziomo: 70°, pionowo: 50°), kompatybilny z PNM-C20000QB, obudowa kątowa, w zestawie kabel 8 m (26 stóp), do użytku wewnątrz pomieszczeń</v>
      </c>
      <c r="K467" s="43" t="s">
        <v>21</v>
      </c>
      <c r="L467" s="44">
        <v>258.0</v>
      </c>
      <c r="M467" s="8"/>
      <c r="N467" s="45" t="s">
        <v>22</v>
      </c>
      <c r="O467" s="97"/>
      <c r="P467" s="36"/>
      <c r="Q467" s="35"/>
      <c r="R467" s="68"/>
      <c r="S467" s="68"/>
      <c r="T467" s="68"/>
      <c r="U467" s="35"/>
      <c r="V467" s="35"/>
      <c r="W467" s="35"/>
      <c r="X467" s="35"/>
      <c r="Y467" s="35"/>
      <c r="Z467" s="35"/>
      <c r="AA467" s="35"/>
      <c r="AB467" s="35"/>
      <c r="AC467" s="60"/>
      <c r="AD467" s="85"/>
      <c r="AE467" s="85"/>
      <c r="AF467" s="85"/>
      <c r="AG467" s="85"/>
      <c r="AH467" s="85"/>
      <c r="AI467" s="85"/>
      <c r="AJ467" s="85"/>
      <c r="AK467" s="85"/>
      <c r="AL467" s="85"/>
      <c r="AM467" s="85"/>
      <c r="AN467" s="85"/>
      <c r="AO467" s="85"/>
      <c r="AP467" s="85"/>
    </row>
    <row r="468" ht="69.75" customHeight="1">
      <c r="A468" s="29"/>
      <c r="B468" s="38" t="s">
        <v>26</v>
      </c>
      <c r="C468" s="39" t="s">
        <v>1368</v>
      </c>
      <c r="D468" s="40" t="s">
        <v>1369</v>
      </c>
      <c r="E468" s="40"/>
      <c r="F468" s="40" t="s">
        <v>623</v>
      </c>
      <c r="G468" s="39" t="s">
        <v>26</v>
      </c>
      <c r="H468" s="41" t="s">
        <v>1370</v>
      </c>
      <c r="I468" s="48" t="s">
        <v>1371</v>
      </c>
      <c r="J468" s="42" t="str">
        <f>IFERROR(__xludf.DUMMYFUNCTION("GOOGLETRANSLATE(I468,""en"",""pl"")"),"1/2,8"" 2MP CMOS z modułem obiektywu stałoogniskowego 3,6 mm do PNM-9000VQ, pole widzenia: poziomo: 94,8˚, pionowo: 49,3˚, 0,055 luksa przy F2.0 (kolor, czarno-biały), WDR (150 dB), elektryczny tryb dzień/noc, kompatybilny z PNM-9002VQ")</f>
        <v>1/2,8" 2MP CMOS z modułem obiektywu stałoogniskowego 3,6 mm do PNM-9000VQ, pole widzenia: poziomo: 94,8˚, pionowo: 49,3˚, 0,055 luksa przy F2.0 (kolor, czarno-biały), WDR (150 dB), elektryczny tryb dzień/noc, kompatybilny z PNM-9002VQ</v>
      </c>
      <c r="K468" s="43" t="s">
        <v>21</v>
      </c>
      <c r="L468" s="44">
        <v>60.0</v>
      </c>
      <c r="M468" s="8"/>
      <c r="N468" s="45" t="s">
        <v>22</v>
      </c>
      <c r="O468" s="97"/>
      <c r="P468" s="36"/>
      <c r="Q468" s="35"/>
      <c r="R468" s="68"/>
      <c r="S468" s="68"/>
      <c r="T468" s="68"/>
      <c r="U468" s="35"/>
      <c r="V468" s="35"/>
      <c r="W468" s="35"/>
      <c r="X468" s="35"/>
      <c r="Y468" s="35"/>
      <c r="Z468" s="35"/>
      <c r="AA468" s="35"/>
      <c r="AB468" s="35"/>
      <c r="AC468" s="60"/>
      <c r="AD468" s="85"/>
      <c r="AE468" s="85"/>
      <c r="AF468" s="85"/>
      <c r="AG468" s="85"/>
      <c r="AH468" s="85"/>
      <c r="AI468" s="85"/>
      <c r="AJ468" s="85"/>
      <c r="AK468" s="85"/>
      <c r="AL468" s="85"/>
      <c r="AM468" s="85"/>
      <c r="AN468" s="85"/>
      <c r="AO468" s="85"/>
      <c r="AP468" s="85"/>
    </row>
    <row r="469" ht="69.75" customHeight="1">
      <c r="A469" s="29"/>
      <c r="B469" s="38" t="s">
        <v>26</v>
      </c>
      <c r="C469" s="39" t="s">
        <v>1372</v>
      </c>
      <c r="D469" s="40" t="s">
        <v>1373</v>
      </c>
      <c r="E469" s="40"/>
      <c r="F469" s="40" t="s">
        <v>414</v>
      </c>
      <c r="G469" s="39" t="s">
        <v>26</v>
      </c>
      <c r="H469" s="41" t="s">
        <v>79</v>
      </c>
      <c r="I469" s="48" t="s">
        <v>1374</v>
      </c>
      <c r="J469" s="42" t="str">
        <f>IFERROR(__xludf.DUMMYFUNCTION("GOOGLETRANSLATE(I469,""en"",""pl"")"),"1/1,8"" 5MP CMOS z modułem obiektywu stałoogniskowego 3,7 mm do PNM-9320VQP, pole widzenia: poziomo: 97,5˚, pionowo: 71,9˚, 0,16 luksa przy F1.6 (kolor, czarno-biały), WDR (120 dB), elektryczny tryb dzień/noc, kompatybilny z PNM-9320VQP")</f>
        <v>1/1,8" 5MP CMOS z modułem obiektywu stałoogniskowego 3,7 mm do PNM-9320VQP, pole widzenia: poziomo: 97,5˚, pionowo: 71,9˚, 0,16 luksa przy F1.6 (kolor, czarno-biały), WDR (120 dB), elektryczny tryb dzień/noc, kompatybilny z PNM-9320VQP</v>
      </c>
      <c r="K469" s="43" t="s">
        <v>21</v>
      </c>
      <c r="L469" s="44">
        <v>116.0</v>
      </c>
      <c r="M469" s="8"/>
      <c r="N469" s="45" t="s">
        <v>22</v>
      </c>
      <c r="O469" s="97"/>
      <c r="P469" s="36"/>
      <c r="Q469" s="35"/>
      <c r="R469" s="68"/>
      <c r="S469" s="68"/>
      <c r="T469" s="68"/>
      <c r="U469" s="35"/>
      <c r="V469" s="35"/>
      <c r="W469" s="35"/>
      <c r="X469" s="35"/>
      <c r="Y469" s="35"/>
      <c r="Z469" s="35"/>
      <c r="AA469" s="35"/>
      <c r="AB469" s="35"/>
      <c r="AC469" s="60"/>
      <c r="AD469" s="85"/>
      <c r="AE469" s="85"/>
      <c r="AF469" s="85"/>
      <c r="AG469" s="85"/>
      <c r="AH469" s="85"/>
      <c r="AI469" s="85"/>
      <c r="AJ469" s="85"/>
      <c r="AK469" s="85"/>
      <c r="AL469" s="85"/>
      <c r="AM469" s="85"/>
      <c r="AN469" s="85"/>
      <c r="AO469" s="85"/>
      <c r="AP469" s="85"/>
    </row>
    <row r="470" ht="69.75" customHeight="1">
      <c r="A470" s="29"/>
      <c r="B470" s="38" t="s">
        <v>26</v>
      </c>
      <c r="C470" s="39" t="s">
        <v>1375</v>
      </c>
      <c r="D470" s="40" t="s">
        <v>1373</v>
      </c>
      <c r="E470" s="40"/>
      <c r="F470" s="40" t="s">
        <v>414</v>
      </c>
      <c r="G470" s="39" t="s">
        <v>26</v>
      </c>
      <c r="H470" s="41" t="s">
        <v>79</v>
      </c>
      <c r="I470" s="48" t="s">
        <v>1376</v>
      </c>
      <c r="J470" s="42" t="str">
        <f>IFERROR(__xludf.DUMMYFUNCTION("GOOGLETRANSLATE(I470,""en"",""pl"")"),"1/1,8"" 5MP CMOS z modułem obiektywu stałoogniskowego 4,6 mm do PNM-9320VQP, pole widzenia: poziomo: 77,9˚, pionowo: 57,9˚, 0,16 luksa przy F1,6 (kolor, czarno-biały), WDR (120 dB), elektryczny tryb dzień/noc, kompatybilny z PNM-9320VQP")</f>
        <v>1/1,8" 5MP CMOS z modułem obiektywu stałoogniskowego 4,6 mm do PNM-9320VQP, pole widzenia: poziomo: 77,9˚, pionowo: 57,9˚, 0,16 luksa przy F1,6 (kolor, czarno-biały), WDR (120 dB), elektryczny tryb dzień/noc, kompatybilny z PNM-9320VQP</v>
      </c>
      <c r="K470" s="43" t="s">
        <v>21</v>
      </c>
      <c r="L470" s="44">
        <v>116.0</v>
      </c>
      <c r="M470" s="8"/>
      <c r="N470" s="45" t="s">
        <v>22</v>
      </c>
      <c r="O470" s="97"/>
      <c r="P470" s="36"/>
      <c r="Q470" s="35"/>
      <c r="R470" s="68"/>
      <c r="S470" s="68"/>
      <c r="T470" s="68"/>
      <c r="U470" s="35"/>
      <c r="V470" s="35"/>
      <c r="W470" s="35"/>
      <c r="X470" s="35"/>
      <c r="Y470" s="35"/>
      <c r="Z470" s="35"/>
      <c r="AA470" s="35"/>
      <c r="AB470" s="35"/>
      <c r="AC470" s="60"/>
      <c r="AD470" s="85"/>
      <c r="AE470" s="85"/>
      <c r="AF470" s="85"/>
      <c r="AG470" s="85"/>
      <c r="AH470" s="85"/>
      <c r="AI470" s="85"/>
      <c r="AJ470" s="85"/>
      <c r="AK470" s="85"/>
      <c r="AL470" s="85"/>
      <c r="AM470" s="85"/>
      <c r="AN470" s="85"/>
      <c r="AO470" s="85"/>
      <c r="AP470" s="85"/>
    </row>
    <row r="471" ht="69.75" customHeight="1">
      <c r="A471" s="29"/>
      <c r="B471" s="38" t="s">
        <v>26</v>
      </c>
      <c r="C471" s="39" t="s">
        <v>1377</v>
      </c>
      <c r="D471" s="40" t="s">
        <v>1373</v>
      </c>
      <c r="E471" s="40"/>
      <c r="F471" s="40" t="s">
        <v>414</v>
      </c>
      <c r="G471" s="39" t="s">
        <v>26</v>
      </c>
      <c r="H471" s="41" t="s">
        <v>79</v>
      </c>
      <c r="I471" s="48" t="s">
        <v>1378</v>
      </c>
      <c r="J471" s="42" t="str">
        <f>IFERROR(__xludf.DUMMYFUNCTION("GOOGLETRANSLATE(I471,""en"",""pl"")"),"1/1,8"" 5MP CMOS z modułem obiektywu stałoogniskowego 7,0 mm do PNM-9320VQP, pole widzenia: poziomo: 50,7˚, pionowo: 37,8˚, 0,16 luksa przy F1.6 (kolor, czarno-biały), WDR (120 dB), elektryczny tryb dzień/noc, kompatybilny z PNM-9320VQP")</f>
        <v>1/1,8" 5MP CMOS z modułem obiektywu stałoogniskowego 7,0 mm do PNM-9320VQP, pole widzenia: poziomo: 50,7˚, pionowo: 37,8˚, 0,16 luksa przy F1.6 (kolor, czarno-biały), WDR (120 dB), elektryczny tryb dzień/noc, kompatybilny z PNM-9320VQP</v>
      </c>
      <c r="K471" s="43" t="s">
        <v>21</v>
      </c>
      <c r="L471" s="44">
        <v>116.0</v>
      </c>
      <c r="M471" s="8"/>
      <c r="N471" s="45" t="s">
        <v>22</v>
      </c>
      <c r="O471" s="97"/>
      <c r="P471" s="36"/>
      <c r="Q471" s="35"/>
      <c r="R471" s="68"/>
      <c r="S471" s="68"/>
      <c r="T471" s="68"/>
      <c r="U471" s="35"/>
      <c r="V471" s="35"/>
      <c r="W471" s="35"/>
      <c r="X471" s="35"/>
      <c r="Y471" s="35"/>
      <c r="Z471" s="35"/>
      <c r="AA471" s="35"/>
      <c r="AB471" s="35"/>
      <c r="AC471" s="60"/>
      <c r="AD471" s="85"/>
      <c r="AE471" s="85"/>
      <c r="AF471" s="85"/>
      <c r="AG471" s="85"/>
      <c r="AH471" s="85"/>
      <c r="AI471" s="85"/>
      <c r="AJ471" s="85"/>
      <c r="AK471" s="85"/>
      <c r="AL471" s="85"/>
      <c r="AM471" s="85"/>
      <c r="AN471" s="85"/>
      <c r="AO471" s="85"/>
      <c r="AP471" s="85"/>
    </row>
    <row r="472" ht="69.75" customHeight="1">
      <c r="A472" s="29"/>
      <c r="B472" s="38" t="s">
        <v>26</v>
      </c>
      <c r="C472" s="39" t="s">
        <v>1379</v>
      </c>
      <c r="D472" s="40" t="s">
        <v>1373</v>
      </c>
      <c r="E472" s="40"/>
      <c r="F472" s="40" t="s">
        <v>623</v>
      </c>
      <c r="G472" s="39" t="s">
        <v>26</v>
      </c>
      <c r="H472" s="41" t="s">
        <v>79</v>
      </c>
      <c r="I472" s="48" t="s">
        <v>1380</v>
      </c>
      <c r="J472" s="42" t="str">
        <f>IFERROR(__xludf.DUMMYFUNCTION("GOOGLETRANSLATE(I472,""en"",""pl"")"),"1/2,8"" 2MP CMOS z modułem obiektywu stałoogniskowego 2,4 mm do kamery PNM-9320VQP, pole widzenia: poziomo: 135,4˚, pionowo: 71,2˚, 0,055 luksa przy F2,0 (kolor, czarno-biały), WDR (150 dB), elektryczny tryb dzień/noc, kompatybilny z kamerą PNM-9320VQP")</f>
        <v>1/2,8" 2MP CMOS z modułem obiektywu stałoogniskowego 2,4 mm do kamery PNM-9320VQP, pole widzenia: poziomo: 135,4˚, pionowo: 71,2˚, 0,055 luksa przy F2,0 (kolor, czarno-biały), WDR (150 dB), elektryczny tryb dzień/noc, kompatybilny z kamerą PNM-9320VQP</v>
      </c>
      <c r="K472" s="43" t="s">
        <v>21</v>
      </c>
      <c r="L472" s="44">
        <v>60.0</v>
      </c>
      <c r="M472" s="8"/>
      <c r="N472" s="45" t="s">
        <v>22</v>
      </c>
      <c r="O472" s="97"/>
      <c r="P472" s="36"/>
      <c r="Q472" s="35"/>
      <c r="R472" s="68"/>
      <c r="S472" s="68"/>
      <c r="T472" s="68"/>
      <c r="U472" s="35"/>
      <c r="V472" s="35"/>
      <c r="W472" s="35"/>
      <c r="X472" s="35"/>
      <c r="Y472" s="35"/>
      <c r="Z472" s="35"/>
      <c r="AA472" s="35"/>
      <c r="AB472" s="35"/>
      <c r="AC472" s="60"/>
      <c r="AD472" s="85"/>
      <c r="AE472" s="85"/>
      <c r="AF472" s="85"/>
      <c r="AG472" s="85"/>
      <c r="AH472" s="85"/>
      <c r="AI472" s="85"/>
      <c r="AJ472" s="85"/>
      <c r="AK472" s="85"/>
      <c r="AL472" s="85"/>
      <c r="AM472" s="85"/>
      <c r="AN472" s="85"/>
      <c r="AO472" s="85"/>
      <c r="AP472" s="85"/>
    </row>
    <row r="473" ht="69.75" customHeight="1">
      <c r="A473" s="29"/>
      <c r="B473" s="38" t="s">
        <v>26</v>
      </c>
      <c r="C473" s="39" t="s">
        <v>1381</v>
      </c>
      <c r="D473" s="40" t="s">
        <v>1373</v>
      </c>
      <c r="E473" s="40"/>
      <c r="F473" s="40" t="s">
        <v>623</v>
      </c>
      <c r="G473" s="39" t="s">
        <v>26</v>
      </c>
      <c r="H473" s="41" t="s">
        <v>79</v>
      </c>
      <c r="I473" s="48" t="s">
        <v>1382</v>
      </c>
      <c r="J473" s="42" t="str">
        <f>IFERROR(__xludf.DUMMYFUNCTION("GOOGLETRANSLATE(I473,""en"",""pl"")"),"1/2,8"" 2MP CMOS z modułem obiektywu stałoogniskowego 3,6 mm do PNM-9320VQP, pole widzenia: poziomo: 94,8˚, pionowo: 49,3˚, 0,055 luksa przy F2.0 (kolor, czarno-biały), WDR (150 dB), elektryczny tryb dzień/noc, kompatybilny z PNM-9320VQP")</f>
        <v>1/2,8" 2MP CMOS z modułem obiektywu stałoogniskowego 3,6 mm do PNM-9320VQP, pole widzenia: poziomo: 94,8˚, pionowo: 49,3˚, 0,055 luksa przy F2.0 (kolor, czarno-biały), WDR (150 dB), elektryczny tryb dzień/noc, kompatybilny z PNM-9320VQP</v>
      </c>
      <c r="K473" s="43" t="s">
        <v>21</v>
      </c>
      <c r="L473" s="44">
        <v>60.0</v>
      </c>
      <c r="M473" s="8"/>
      <c r="N473" s="45" t="s">
        <v>22</v>
      </c>
      <c r="O473" s="97"/>
      <c r="P473" s="36"/>
      <c r="Q473" s="35"/>
      <c r="R473" s="68"/>
      <c r="S473" s="68"/>
      <c r="T473" s="68"/>
      <c r="U473" s="35"/>
      <c r="V473" s="35"/>
      <c r="W473" s="35"/>
      <c r="X473" s="35"/>
      <c r="Y473" s="35"/>
      <c r="Z473" s="35"/>
      <c r="AA473" s="35"/>
      <c r="AB473" s="35"/>
      <c r="AC473" s="60"/>
      <c r="AD473" s="85"/>
      <c r="AE473" s="85"/>
      <c r="AF473" s="85"/>
      <c r="AG473" s="85"/>
      <c r="AH473" s="85"/>
      <c r="AI473" s="85"/>
      <c r="AJ473" s="85"/>
      <c r="AK473" s="85"/>
      <c r="AL473" s="85"/>
      <c r="AM473" s="85"/>
      <c r="AN473" s="85"/>
      <c r="AO473" s="85"/>
      <c r="AP473" s="85"/>
    </row>
    <row r="474" ht="69.75" customHeight="1">
      <c r="A474" s="29"/>
      <c r="B474" s="38" t="s">
        <v>26</v>
      </c>
      <c r="C474" s="39" t="s">
        <v>1383</v>
      </c>
      <c r="D474" s="40" t="s">
        <v>1373</v>
      </c>
      <c r="E474" s="40"/>
      <c r="F474" s="40" t="s">
        <v>623</v>
      </c>
      <c r="G474" s="39" t="s">
        <v>26</v>
      </c>
      <c r="H474" s="41" t="s">
        <v>79</v>
      </c>
      <c r="I474" s="48" t="s">
        <v>1384</v>
      </c>
      <c r="J474" s="42" t="str">
        <f>IFERROR(__xludf.DUMMYFUNCTION("GOOGLETRANSLATE(I474,""en"",""pl"")"),"1/2,8"" 2MP CMOS z modułem obiektywu stałoogniskowego 6,0 mm do PNM-9320VQP, pole widzenia: poziomo: 50,4˚, pionowo: 28,8˚, 0,055 luksa przy F2.0 (kolor, czarno-biały), WDR (150 dB), elektryczny tryb dzień/noc, kompatybilny z PNM-9320VQP")</f>
        <v>1/2,8" 2MP CMOS z modułem obiektywu stałoogniskowego 6,0 mm do PNM-9320VQP, pole widzenia: poziomo: 50,4˚, pionowo: 28,8˚, 0,055 luksa przy F2.0 (kolor, czarno-biały), WDR (150 dB), elektryczny tryb dzień/noc, kompatybilny z PNM-9320VQP</v>
      </c>
      <c r="K474" s="43" t="s">
        <v>21</v>
      </c>
      <c r="L474" s="44">
        <v>60.0</v>
      </c>
      <c r="M474" s="8"/>
      <c r="N474" s="45" t="s">
        <v>22</v>
      </c>
      <c r="O474" s="97"/>
      <c r="P474" s="36"/>
      <c r="Q474" s="35"/>
      <c r="R474" s="68"/>
      <c r="S474" s="68"/>
      <c r="T474" s="68"/>
      <c r="U474" s="35"/>
      <c r="V474" s="35"/>
      <c r="W474" s="35"/>
      <c r="X474" s="35"/>
      <c r="Y474" s="35"/>
      <c r="Z474" s="35"/>
      <c r="AA474" s="35"/>
      <c r="AB474" s="35"/>
      <c r="AC474" s="60"/>
      <c r="AD474" s="85"/>
      <c r="AE474" s="85"/>
      <c r="AF474" s="85"/>
      <c r="AG474" s="85"/>
      <c r="AH474" s="85"/>
      <c r="AI474" s="85"/>
      <c r="AJ474" s="85"/>
      <c r="AK474" s="85"/>
      <c r="AL474" s="85"/>
      <c r="AM474" s="85"/>
      <c r="AN474" s="85"/>
      <c r="AO474" s="85"/>
      <c r="AP474" s="85"/>
    </row>
    <row r="475" ht="69.75" customHeight="1">
      <c r="A475" s="29"/>
      <c r="B475" s="38" t="s">
        <v>26</v>
      </c>
      <c r="C475" s="39" t="s">
        <v>1385</v>
      </c>
      <c r="D475" s="40" t="s">
        <v>1373</v>
      </c>
      <c r="E475" s="40"/>
      <c r="F475" s="40" t="s">
        <v>623</v>
      </c>
      <c r="G475" s="39" t="s">
        <v>26</v>
      </c>
      <c r="H475" s="41" t="s">
        <v>79</v>
      </c>
      <c r="I475" s="48" t="s">
        <v>1386</v>
      </c>
      <c r="J475" s="42" t="str">
        <f>IFERROR(__xludf.DUMMYFUNCTION("GOOGLETRANSLATE(I475,""en"",""pl"")"),"1/2,8"" 2MP CMOS z obiektywem otworkowym 12,0 mm do kamery PNM-9320VQP, pole widzenia: poziomo: 26,3˚, pionowo: 14,9˚, 0,055 luksa przy F2,0 (kolor, czarno-biały), WDR (150 dB), elektryczny tryb dzień/noc, kompatybilny z kamerą PNM-9320VQP")</f>
        <v>1/2,8" 2MP CMOS z obiektywem otworkowym 12,0 mm do kamery PNM-9320VQP, pole widzenia: poziomo: 26,3˚, pionowo: 14,9˚, 0,055 luksa przy F2,0 (kolor, czarno-biały), WDR (150 dB), elektryczny tryb dzień/noc, kompatybilny z kamerą PNM-9320VQP</v>
      </c>
      <c r="K475" s="43" t="s">
        <v>21</v>
      </c>
      <c r="L475" s="44">
        <v>60.0</v>
      </c>
      <c r="M475" s="8"/>
      <c r="N475" s="45" t="s">
        <v>22</v>
      </c>
      <c r="O475" s="97"/>
      <c r="P475" s="36"/>
      <c r="Q475" s="35"/>
      <c r="R475" s="68"/>
      <c r="S475" s="68"/>
      <c r="T475" s="68"/>
      <c r="U475" s="35"/>
      <c r="V475" s="35"/>
      <c r="W475" s="35"/>
      <c r="X475" s="35"/>
      <c r="Y475" s="35"/>
      <c r="Z475" s="35"/>
      <c r="AA475" s="35"/>
      <c r="AB475" s="35"/>
      <c r="AC475" s="60"/>
      <c r="AD475" s="85"/>
      <c r="AE475" s="85"/>
      <c r="AF475" s="85"/>
      <c r="AG475" s="85"/>
      <c r="AH475" s="85"/>
      <c r="AI475" s="85"/>
      <c r="AJ475" s="85"/>
      <c r="AK475" s="85"/>
      <c r="AL475" s="85"/>
      <c r="AM475" s="85"/>
      <c r="AN475" s="85"/>
      <c r="AO475" s="85"/>
      <c r="AP475" s="85"/>
    </row>
    <row r="476" ht="69.75" customHeight="1">
      <c r="A476" s="29"/>
      <c r="B476" s="38" t="s">
        <v>26</v>
      </c>
      <c r="C476" s="39" t="s">
        <v>1387</v>
      </c>
      <c r="D476" s="40" t="s">
        <v>1388</v>
      </c>
      <c r="E476" s="40"/>
      <c r="F476" s="40"/>
      <c r="G476" s="39" t="s">
        <v>26</v>
      </c>
      <c r="H476" s="41" t="s">
        <v>79</v>
      </c>
      <c r="I476" s="48" t="s">
        <v>1389</v>
      </c>
      <c r="J476" s="42" t="str">
        <f>IFERROR(__xludf.DUMMYFUNCTION("GOOGLETRANSLATE(I476,""en"",""pl"")"),"Obiektyw 1/2,8"", maks. rozdzielczość 3 MP, zmiennoogniskowy (8,5–50,0 mm), automatyczna przysłona DC, mocowanie CS")</f>
        <v>Obiektyw 1/2,8", maks. rozdzielczość 3 MP, zmiennoogniskowy (8,5–50,0 mm), automatyczna przysłona DC, mocowanie CS</v>
      </c>
      <c r="K476" s="43" t="s">
        <v>21</v>
      </c>
      <c r="L476" s="44">
        <v>246.0</v>
      </c>
      <c r="M476" s="8"/>
      <c r="N476" s="45" t="s">
        <v>22</v>
      </c>
      <c r="O476" s="97"/>
      <c r="P476" s="36"/>
      <c r="Q476" s="35"/>
      <c r="R476" s="68"/>
      <c r="S476" s="68"/>
      <c r="T476" s="68"/>
      <c r="U476" s="35"/>
      <c r="V476" s="35"/>
      <c r="W476" s="35"/>
      <c r="X476" s="35"/>
      <c r="Y476" s="35"/>
      <c r="Z476" s="35"/>
      <c r="AA476" s="35"/>
      <c r="AB476" s="35"/>
      <c r="AC476" s="60"/>
      <c r="AD476" s="85"/>
      <c r="AE476" s="85"/>
      <c r="AF476" s="85"/>
      <c r="AG476" s="85"/>
      <c r="AH476" s="85"/>
      <c r="AI476" s="85"/>
      <c r="AJ476" s="85"/>
      <c r="AK476" s="85"/>
      <c r="AL476" s="85"/>
      <c r="AM476" s="85"/>
      <c r="AN476" s="85"/>
      <c r="AO476" s="85"/>
      <c r="AP476" s="85"/>
    </row>
    <row r="477" ht="69.75" customHeight="1">
      <c r="A477" s="29"/>
      <c r="B477" s="38" t="s">
        <v>26</v>
      </c>
      <c r="C477" s="39" t="s">
        <v>1390</v>
      </c>
      <c r="D477" s="40" t="s">
        <v>1391</v>
      </c>
      <c r="E477" s="40"/>
      <c r="F477" s="40"/>
      <c r="G477" s="39" t="s">
        <v>26</v>
      </c>
      <c r="H477" s="41" t="s">
        <v>79</v>
      </c>
      <c r="I477" s="48" t="s">
        <v>1392</v>
      </c>
      <c r="J477" s="42" t="str">
        <f>IFERROR(__xludf.DUMMYFUNCTION("GOOGLETRANSLATE(I477,""en"",""pl"")"),"Obiektyw 1/2,8"", maks. rozdzielczość 3 MP, zmiennoogniskowy (2,8–9,0 mm), automatyczna przysłona DC, mocowanie CS")</f>
        <v>Obiektyw 1/2,8", maks. rozdzielczość 3 MP, zmiennoogniskowy (2,8–9,0 mm), automatyczna przysłona DC, mocowanie CS</v>
      </c>
      <c r="K477" s="43" t="s">
        <v>21</v>
      </c>
      <c r="L477" s="44">
        <v>195.0</v>
      </c>
      <c r="M477" s="8"/>
      <c r="N477" s="45" t="s">
        <v>22</v>
      </c>
      <c r="O477" s="97"/>
      <c r="P477" s="36"/>
      <c r="Q477" s="35"/>
      <c r="R477" s="68"/>
      <c r="S477" s="68"/>
      <c r="T477" s="68"/>
      <c r="U477" s="35"/>
      <c r="V477" s="35"/>
      <c r="W477" s="35"/>
      <c r="X477" s="35"/>
      <c r="Y477" s="35"/>
      <c r="Z477" s="35"/>
      <c r="AA477" s="35"/>
      <c r="AB477" s="35"/>
      <c r="AC477" s="60"/>
      <c r="AD477" s="85"/>
      <c r="AE477" s="85"/>
      <c r="AF477" s="85"/>
      <c r="AG477" s="85"/>
      <c r="AH477" s="85"/>
      <c r="AI477" s="85"/>
      <c r="AJ477" s="85"/>
      <c r="AK477" s="85"/>
      <c r="AL477" s="85"/>
      <c r="AM477" s="85"/>
      <c r="AN477" s="85"/>
      <c r="AO477" s="85"/>
      <c r="AP477" s="85"/>
    </row>
    <row r="478" ht="69.75" customHeight="1">
      <c r="A478" s="29"/>
      <c r="B478" s="38" t="s">
        <v>26</v>
      </c>
      <c r="C478" s="39" t="s">
        <v>1393</v>
      </c>
      <c r="D478" s="40" t="s">
        <v>1394</v>
      </c>
      <c r="E478" s="40"/>
      <c r="F478" s="40"/>
      <c r="G478" s="39" t="s">
        <v>26</v>
      </c>
      <c r="H478" s="41" t="s">
        <v>79</v>
      </c>
      <c r="I478" s="48" t="s">
        <v>1395</v>
      </c>
      <c r="J478" s="42" t="str">
        <f>IFERROR(__xludf.DUMMYFUNCTION("GOOGLETRANSLATE(I478,""en"",""pl"")"),"Obiektyw 1/2,8"", maks. rozdzielczość 3 MP, zmiennoogniskowy (2,8–9,0 mm), automatyczna przysłona P, mocowanie CS")</f>
        <v>Obiektyw 1/2,8", maks. rozdzielczość 3 MP, zmiennoogniskowy (2,8–9,0 mm), automatyczna przysłona P, mocowanie CS</v>
      </c>
      <c r="K478" s="43" t="s">
        <v>21</v>
      </c>
      <c r="L478" s="44">
        <v>232.0</v>
      </c>
      <c r="M478" s="8"/>
      <c r="N478" s="45" t="s">
        <v>22</v>
      </c>
      <c r="O478" s="97"/>
      <c r="P478" s="36"/>
      <c r="Q478" s="35"/>
      <c r="R478" s="68"/>
      <c r="S478" s="68"/>
      <c r="T478" s="68"/>
      <c r="U478" s="35"/>
      <c r="V478" s="35"/>
      <c r="W478" s="35"/>
      <c r="X478" s="35"/>
      <c r="Y478" s="35"/>
      <c r="Z478" s="35"/>
      <c r="AA478" s="35"/>
      <c r="AB478" s="35"/>
      <c r="AC478" s="60"/>
      <c r="AD478" s="85"/>
      <c r="AE478" s="85"/>
      <c r="AF478" s="85"/>
      <c r="AG478" s="85"/>
      <c r="AH478" s="85"/>
      <c r="AI478" s="85"/>
      <c r="AJ478" s="85"/>
      <c r="AK478" s="85"/>
      <c r="AL478" s="85"/>
      <c r="AM478" s="85"/>
      <c r="AN478" s="85"/>
      <c r="AO478" s="85"/>
      <c r="AP478" s="85"/>
    </row>
    <row r="479" ht="30.0" customHeight="1">
      <c r="A479" s="29"/>
      <c r="B479" s="129" t="s">
        <v>1396</v>
      </c>
      <c r="C479" s="113"/>
      <c r="D479" s="113"/>
      <c r="E479" s="113"/>
      <c r="F479" s="113"/>
      <c r="G479" s="113"/>
      <c r="H479" s="113"/>
      <c r="I479" s="113"/>
      <c r="J479" s="42" t="str">
        <f>IFERROR(__xludf.DUMMYFUNCTION("GOOGLETRANSLATE(I479,""en"",""pl"")"),"#VALUE!")</f>
        <v>#VALUE!</v>
      </c>
      <c r="K479" s="113"/>
      <c r="L479" s="114"/>
      <c r="M479" s="115"/>
      <c r="N479" s="96"/>
      <c r="O479" s="83"/>
      <c r="P479" s="36"/>
      <c r="Q479" s="35"/>
      <c r="R479" s="68"/>
      <c r="S479" s="68"/>
      <c r="T479" s="68"/>
      <c r="U479" s="35"/>
      <c r="V479" s="35"/>
      <c r="W479" s="35"/>
      <c r="X479" s="35"/>
      <c r="Y479" s="35"/>
      <c r="Z479" s="35"/>
      <c r="AA479" s="35"/>
      <c r="AB479" s="35"/>
      <c r="AC479" s="60"/>
      <c r="AD479" s="85"/>
      <c r="AE479" s="85"/>
      <c r="AF479" s="85"/>
      <c r="AG479" s="85"/>
      <c r="AH479" s="85"/>
      <c r="AI479" s="85"/>
      <c r="AJ479" s="85"/>
      <c r="AK479" s="85"/>
      <c r="AL479" s="85"/>
      <c r="AM479" s="85"/>
      <c r="AN479" s="85"/>
      <c r="AO479" s="85"/>
      <c r="AP479" s="85"/>
    </row>
    <row r="480" ht="79.5" customHeight="1">
      <c r="A480" s="29"/>
      <c r="B480" s="116" t="s">
        <v>23</v>
      </c>
      <c r="C480" s="117" t="s">
        <v>1397</v>
      </c>
      <c r="D480" s="118" t="s">
        <v>1398</v>
      </c>
      <c r="E480" s="118"/>
      <c r="F480" s="118"/>
      <c r="G480" s="117"/>
      <c r="H480" s="126" t="s">
        <v>79</v>
      </c>
      <c r="I480" s="121" t="s">
        <v>1399</v>
      </c>
      <c r="J480" s="42" t="str">
        <f>IFERROR(__xludf.DUMMYFUNCTION("GOOGLETRANSLATE(I480,""en"",""pl"")"),"Nadajnik podczerwieni IR o zasięgu do 200 m (656 stóp), kąt podczerwieni 25°, długość fali 850 nm, zasilanie 24 V AC, IP67, od -40°C do +60°C (od -40°F do 140°F). Kompatybilny z modelami TNU-6320 (wycofany z produkcji) i TNU-6321 * W zestawie korpus i uch"&amp;"wyt montażowy 2 iluminatorów IR.")</f>
        <v>Nadajnik podczerwieni IR o zasięgu do 200 m (656 stóp), kąt podczerwieni 25°, długość fali 850 nm, zasilanie 24 V AC, IP67, od -40°C do +60°C (od -40°F do 140°F). Kompatybilny z modelami TNU-6320 (wycofany z produkcji) i TNU-6321 * W zestawie korpus i uchwyt montażowy 2 iluminatorów IR.</v>
      </c>
      <c r="K480" s="43" t="s">
        <v>21</v>
      </c>
      <c r="L480" s="44">
        <v>2070.0</v>
      </c>
      <c r="M480" s="8"/>
      <c r="N480" s="45" t="s">
        <v>22</v>
      </c>
      <c r="O480" s="97"/>
      <c r="P480" s="36"/>
      <c r="Q480" s="35"/>
      <c r="R480" s="68"/>
      <c r="S480" s="68"/>
      <c r="T480" s="68"/>
      <c r="U480" s="35"/>
      <c r="V480" s="35"/>
      <c r="W480" s="35"/>
      <c r="X480" s="35"/>
      <c r="Y480" s="35"/>
      <c r="Z480" s="35"/>
      <c r="AA480" s="35"/>
      <c r="AB480" s="35"/>
      <c r="AC480" s="101"/>
      <c r="AD480" s="98"/>
      <c r="AE480" s="98"/>
      <c r="AF480" s="98"/>
      <c r="AG480" s="98"/>
      <c r="AH480" s="98"/>
      <c r="AI480" s="85"/>
      <c r="AJ480" s="85"/>
      <c r="AK480" s="85"/>
      <c r="AL480" s="85"/>
      <c r="AM480" s="85"/>
      <c r="AN480" s="85"/>
      <c r="AO480" s="85"/>
      <c r="AP480" s="85"/>
    </row>
    <row r="481" ht="79.5" customHeight="1">
      <c r="A481" s="29"/>
      <c r="B481" s="38" t="s">
        <v>23</v>
      </c>
      <c r="C481" s="39" t="s">
        <v>1400</v>
      </c>
      <c r="D481" s="40" t="s">
        <v>1401</v>
      </c>
      <c r="E481" s="118"/>
      <c r="F481" s="40"/>
      <c r="G481" s="39"/>
      <c r="H481" s="41" t="s">
        <v>79</v>
      </c>
      <c r="I481" s="48" t="s">
        <v>1402</v>
      </c>
      <c r="J481" s="42" t="str">
        <f>IFERROR(__xludf.DUMMYFUNCTION("GOOGLETRANSLATE(I481,""en"",""pl"")"),"Sieciowy moduł wejścia/wyjścia do kamer PTZ plus, 4 konfigurowalne porty wejścia/wyjścia, wejście/wyjście audio, PoE. Kompatybilny z kamerami XNP-9300RW/9250R/9250, XNP-8300RW/8250R/8250, XNP-6400RW/6400R/6400.")</f>
        <v>Sieciowy moduł wejścia/wyjścia do kamer PTZ plus, 4 konfigurowalne porty wejścia/wyjścia, wejście/wyjście audio, PoE. Kompatybilny z kamerami XNP-9300RW/9250R/9250, XNP-8300RW/8250R/8250, XNP-6400RW/6400R/6400.</v>
      </c>
      <c r="K481" s="43" t="s">
        <v>21</v>
      </c>
      <c r="L481" s="44">
        <v>250.0</v>
      </c>
      <c r="M481" s="8"/>
      <c r="N481" s="45" t="s">
        <v>22</v>
      </c>
      <c r="O481" s="97"/>
      <c r="P481" s="35"/>
      <c r="Q481" s="35"/>
      <c r="R481" s="68"/>
      <c r="S481" s="68"/>
      <c r="T481" s="68"/>
      <c r="U481" s="35"/>
      <c r="V481" s="35"/>
      <c r="W481" s="35"/>
      <c r="X481" s="35"/>
      <c r="Y481" s="35"/>
      <c r="Z481" s="35"/>
      <c r="AA481" s="35"/>
      <c r="AB481" s="35"/>
      <c r="AC481" s="101"/>
      <c r="AD481" s="98"/>
      <c r="AE481" s="98"/>
      <c r="AF481" s="98"/>
      <c r="AG481" s="98"/>
      <c r="AH481" s="98"/>
      <c r="AI481" s="98"/>
      <c r="AJ481" s="98"/>
      <c r="AK481" s="98"/>
      <c r="AL481" s="98"/>
      <c r="AM481" s="98"/>
      <c r="AN481" s="98"/>
      <c r="AO481" s="98"/>
      <c r="AP481" s="98"/>
    </row>
    <row r="482" ht="79.5" customHeight="1">
      <c r="A482" s="29"/>
      <c r="B482" s="38" t="s">
        <v>23</v>
      </c>
      <c r="C482" s="39" t="s">
        <v>1403</v>
      </c>
      <c r="D482" s="40" t="s">
        <v>1404</v>
      </c>
      <c r="E482" s="118"/>
      <c r="F482" s="40"/>
      <c r="G482" s="39"/>
      <c r="H482" s="41" t="s">
        <v>79</v>
      </c>
      <c r="I482" s="48" t="s">
        <v>1405</v>
      </c>
      <c r="J482" s="42" t="str">
        <f>IFERROR(__xludf.DUMMYFUNCTION("GOOGLETRANSLATE(I482,""en"",""pl"")"),"Wtryskiwacz HPoE 60 W, w pełni zgodny ze standardami IEEE802.3af/at/bt, PoE++, wbudowane gniazdo SFP, kompatybilny z XNP-9250R / XNP-8250R / XNP-6400R / TNB-9000")</f>
        <v>Wtryskiwacz HPoE 60 W, w pełni zgodny ze standardami IEEE802.3af/at/bt, PoE++, wbudowane gniazdo SFP, kompatybilny z XNP-9250R / XNP-8250R / XNP-6400R / TNB-9000</v>
      </c>
      <c r="K482" s="43" t="s">
        <v>189</v>
      </c>
      <c r="L482" s="44">
        <v>365.0</v>
      </c>
      <c r="M482" s="8"/>
      <c r="N482" s="45" t="s">
        <v>22</v>
      </c>
      <c r="O482" s="97"/>
      <c r="P482" s="35"/>
      <c r="Q482" s="35"/>
      <c r="R482" s="68"/>
      <c r="S482" s="68"/>
      <c r="T482" s="68"/>
      <c r="U482" s="35"/>
      <c r="V482" s="35"/>
      <c r="W482" s="35"/>
      <c r="X482" s="35"/>
      <c r="Y482" s="35"/>
      <c r="Z482" s="35"/>
      <c r="AA482" s="35"/>
      <c r="AB482" s="35"/>
      <c r="AC482" s="60"/>
      <c r="AD482" s="85"/>
      <c r="AE482" s="85"/>
      <c r="AF482" s="85"/>
      <c r="AG482" s="85"/>
      <c r="AH482" s="85"/>
      <c r="AI482" s="98"/>
      <c r="AJ482" s="98"/>
      <c r="AK482" s="98"/>
      <c r="AL482" s="98"/>
      <c r="AM482" s="98"/>
      <c r="AN482" s="98"/>
      <c r="AO482" s="98"/>
      <c r="AP482" s="98"/>
    </row>
    <row r="483" ht="79.5" customHeight="1">
      <c r="A483" s="29"/>
      <c r="B483" s="38" t="s">
        <v>23</v>
      </c>
      <c r="C483" s="39" t="s">
        <v>1406</v>
      </c>
      <c r="D483" s="40" t="s">
        <v>1407</v>
      </c>
      <c r="E483" s="118"/>
      <c r="F483" s="40"/>
      <c r="G483" s="39"/>
      <c r="H483" s="41" t="s">
        <v>79</v>
      </c>
      <c r="I483" s="42" t="s">
        <v>1408</v>
      </c>
      <c r="J483" s="42" t="str">
        <f>IFERROR(__xludf.DUMMYFUNCTION("GOOGLETRANSLATE(I483,""en"",""pl"")"),"Wtryskiwacz HPoE 83 W, w pełni zgodny ze standardami IEEE802.3af/at/bt, PoE++, wbudowane gniazdo SFP, kompatybilny z XNP-9300RW / XNP-8300RW / XNP-6400RW, PNM-9085RQZ / PNM-9085RQZ1 / PNM-9084RQZ / PNM-9084RQZ1 / PNM-9322VQP / SMT-3221PV / SMT-3231PV / SM"&amp;"T-2721PV / SMT-2731PV / SMT-1031PV / SMT-1031PVW / SMT-2721D")</f>
        <v>Wtryskiwacz HPoE 83 W, w pełni zgodny ze standardami IEEE802.3af/at/bt, PoE++, wbudowane gniazdo SFP, kompatybilny z XNP-9300RW / XNP-8300RW / XNP-6400RW, PNM-9085RQZ / PNM-9085RQZ1 / PNM-9084RQZ / PNM-9084RQZ1 / PNM-9322VQP / SMT-3221PV / SMT-3231PV / SMT-2721PV / SMT-2731PV / SMT-1031PV / SMT-1031PVW / SMT-2721D</v>
      </c>
      <c r="K483" s="43" t="s">
        <v>189</v>
      </c>
      <c r="L483" s="44">
        <v>425.0</v>
      </c>
      <c r="M483" s="8"/>
      <c r="N483" s="45" t="s">
        <v>22</v>
      </c>
      <c r="O483" s="97"/>
      <c r="P483" s="35"/>
      <c r="Q483" s="35"/>
      <c r="R483" s="68"/>
      <c r="S483" s="68"/>
      <c r="T483" s="68"/>
      <c r="U483" s="35"/>
      <c r="V483" s="35"/>
      <c r="W483" s="35"/>
      <c r="X483" s="35"/>
      <c r="Y483" s="35"/>
      <c r="Z483" s="35"/>
      <c r="AA483" s="35"/>
      <c r="AB483" s="35"/>
      <c r="AC483" s="60"/>
      <c r="AD483" s="85"/>
      <c r="AE483" s="85"/>
      <c r="AF483" s="85"/>
      <c r="AG483" s="85"/>
      <c r="AH483" s="85"/>
      <c r="AI483" s="98"/>
      <c r="AJ483" s="98"/>
      <c r="AK483" s="98"/>
      <c r="AL483" s="98"/>
      <c r="AM483" s="98"/>
      <c r="AN483" s="98"/>
      <c r="AO483" s="98"/>
      <c r="AP483" s="98"/>
    </row>
    <row r="484" ht="79.5" customHeight="1">
      <c r="A484" s="29"/>
      <c r="B484" s="38" t="s">
        <v>23</v>
      </c>
      <c r="C484" s="39" t="s">
        <v>1409</v>
      </c>
      <c r="D484" s="40" t="s">
        <v>1410</v>
      </c>
      <c r="E484" s="118"/>
      <c r="F484" s="40"/>
      <c r="G484" s="39"/>
      <c r="H484" s="41" t="s">
        <v>79</v>
      </c>
      <c r="I484" s="48" t="s">
        <v>1411</v>
      </c>
      <c r="J484" s="42" t="str">
        <f>IFERROR(__xludf.DUMMYFUNCTION("GOOGLETRANSLATE(I484,""en"",""pl"")"),"Uchwyt montażowy PTZ-Plus z certyfikatem Plenum, kolor biały. Kompatybilny z XNP-9250/9250R/8250/8250R/6400/6400R, QNP-6320R/6250R, XNP-C6403/C8253/C9253, XNP-C6403R/C8253R/C9253R.")</f>
        <v>Uchwyt montażowy PTZ-Plus z certyfikatem Plenum, kolor biały. Kompatybilny z XNP-9250/9250R/8250/8250R/6400/6400R, QNP-6320R/6250R, XNP-C6403/C8253/C9253, XNP-C6403R/C8253R/C9253R.</v>
      </c>
      <c r="K484" s="43" t="s">
        <v>21</v>
      </c>
      <c r="L484" s="44">
        <v>159.0</v>
      </c>
      <c r="M484" s="8"/>
      <c r="N484" s="45" t="s">
        <v>22</v>
      </c>
      <c r="O484" s="97"/>
      <c r="P484" s="36"/>
      <c r="Q484" s="35"/>
      <c r="R484" s="68"/>
      <c r="S484" s="68"/>
      <c r="T484" s="68"/>
      <c r="U484" s="35"/>
      <c r="V484" s="35"/>
      <c r="W484" s="35"/>
      <c r="X484" s="35"/>
      <c r="Y484" s="35"/>
      <c r="Z484" s="35"/>
      <c r="AA484" s="35"/>
      <c r="AB484" s="35"/>
      <c r="AC484" s="60"/>
      <c r="AD484" s="85"/>
      <c r="AE484" s="85"/>
      <c r="AF484" s="85"/>
      <c r="AG484" s="85"/>
      <c r="AH484" s="85"/>
      <c r="AI484" s="85"/>
      <c r="AJ484" s="85"/>
      <c r="AK484" s="85"/>
      <c r="AL484" s="85"/>
      <c r="AM484" s="85"/>
      <c r="AN484" s="85"/>
      <c r="AO484" s="85"/>
      <c r="AP484" s="85"/>
    </row>
    <row r="485" ht="79.5" customHeight="1">
      <c r="A485" s="29"/>
      <c r="B485" s="38" t="s">
        <v>23</v>
      </c>
      <c r="C485" s="39" t="s">
        <v>1412</v>
      </c>
      <c r="D485" s="40" t="s">
        <v>1413</v>
      </c>
      <c r="E485" s="118"/>
      <c r="F485" s="40"/>
      <c r="G485" s="39"/>
      <c r="H485" s="41" t="s">
        <v>79</v>
      </c>
      <c r="I485" s="48" t="s">
        <v>1414</v>
      </c>
      <c r="J485" s="42" t="str">
        <f>IFERROR(__xludf.DUMMYFUNCTION("GOOGLETRANSLATE(I485,""en"",""pl"")"),"Uchwyt PTZ-Plus wpuszczany, kolor biały. Kompatybilny z XNP-9250/9250R/8250/8250R/6400/6400R, QNP-6320R/6250R, XNP-C6403/C8253/C9253, XNP-C6403R/C8253R/C9253R.")</f>
        <v>Uchwyt PTZ-Plus wpuszczany, kolor biały. Kompatybilny z XNP-9250/9250R/8250/8250R/6400/6400R, QNP-6320R/6250R, XNP-C6403/C8253/C9253, XNP-C6403R/C8253R/C9253R.</v>
      </c>
      <c r="K485" s="43" t="s">
        <v>21</v>
      </c>
      <c r="L485" s="44">
        <v>112.0</v>
      </c>
      <c r="M485" s="8"/>
      <c r="N485" s="45" t="s">
        <v>22</v>
      </c>
      <c r="O485" s="97"/>
      <c r="P485" s="36"/>
      <c r="Q485" s="35"/>
      <c r="R485" s="68"/>
      <c r="S485" s="68"/>
      <c r="T485" s="68"/>
      <c r="U485" s="35"/>
      <c r="V485" s="35"/>
      <c r="W485" s="35"/>
      <c r="X485" s="35"/>
      <c r="Y485" s="35"/>
      <c r="Z485" s="35"/>
      <c r="AA485" s="35"/>
      <c r="AB485" s="35"/>
      <c r="AC485" s="60"/>
      <c r="AD485" s="85"/>
      <c r="AE485" s="85"/>
      <c r="AF485" s="85"/>
      <c r="AG485" s="85"/>
      <c r="AH485" s="85"/>
      <c r="AI485" s="85"/>
      <c r="AJ485" s="85"/>
      <c r="AK485" s="85"/>
      <c r="AL485" s="85"/>
      <c r="AM485" s="85"/>
      <c r="AN485" s="85"/>
      <c r="AO485" s="85"/>
      <c r="AP485" s="85"/>
    </row>
    <row r="486" ht="79.5" customHeight="1">
      <c r="A486" s="29"/>
      <c r="B486" s="38" t="s">
        <v>23</v>
      </c>
      <c r="C486" s="39" t="s">
        <v>1415</v>
      </c>
      <c r="D486" s="40" t="s">
        <v>1413</v>
      </c>
      <c r="E486" s="118"/>
      <c r="F486" s="40"/>
      <c r="G486" s="39"/>
      <c r="H486" s="41" t="s">
        <v>79</v>
      </c>
      <c r="I486" s="48" t="s">
        <v>1416</v>
      </c>
      <c r="J486" s="42" t="str">
        <f>IFERROR(__xludf.DUMMYFUNCTION("GOOGLETRANSLATE(I486,""en"",""pl"")"),"Plastikowe kamery PTZ do montażu wpuszczanego w sufit. Kompatybilne z XNP-6320/XNP-6321/QNP-6230, białe.")</f>
        <v>Plastikowe kamery PTZ do montażu wpuszczanego w sufit. Kompatybilne z XNP-6320/XNP-6321/QNP-6230, białe.</v>
      </c>
      <c r="K486" s="43" t="s">
        <v>21</v>
      </c>
      <c r="L486" s="44">
        <v>119.0</v>
      </c>
      <c r="M486" s="8"/>
      <c r="N486" s="45" t="s">
        <v>22</v>
      </c>
      <c r="O486" s="97"/>
      <c r="P486" s="36"/>
      <c r="Q486" s="35"/>
      <c r="R486" s="68"/>
      <c r="S486" s="68"/>
      <c r="T486" s="68"/>
      <c r="U486" s="35"/>
      <c r="V486" s="35"/>
      <c r="W486" s="35"/>
      <c r="X486" s="35"/>
      <c r="Y486" s="35"/>
      <c r="Z486" s="35"/>
      <c r="AA486" s="35"/>
      <c r="AB486" s="35"/>
      <c r="AC486" s="60"/>
      <c r="AD486" s="85"/>
      <c r="AE486" s="85"/>
      <c r="AF486" s="85"/>
      <c r="AG486" s="85"/>
      <c r="AH486" s="85"/>
      <c r="AI486" s="85"/>
      <c r="AJ486" s="85"/>
      <c r="AK486" s="85"/>
      <c r="AL486" s="85"/>
      <c r="AM486" s="85"/>
      <c r="AN486" s="85"/>
      <c r="AO486" s="85"/>
      <c r="AP486" s="85"/>
    </row>
    <row r="487" ht="79.5" customHeight="1">
      <c r="A487" s="29"/>
      <c r="B487" s="38" t="s">
        <v>23</v>
      </c>
      <c r="C487" s="39" t="s">
        <v>1417</v>
      </c>
      <c r="D487" s="40" t="s">
        <v>1413</v>
      </c>
      <c r="E487" s="118"/>
      <c r="F487" s="40"/>
      <c r="G487" s="39"/>
      <c r="H487" s="41" t="s">
        <v>79</v>
      </c>
      <c r="I487" s="48" t="s">
        <v>1418</v>
      </c>
      <c r="J487" s="42" t="str">
        <f>IFERROR(__xludf.DUMMYFUNCTION("GOOGLETRANSLATE(I487,""en"",""pl"")"),"Poliwęglanowy uchwyt sufitowy do kamer PTZ i kopułkowych. Kompatybilny z kamerami XNP-6120H, XNV-6120/6120R/6085, XND-6085/6085V, kolor kości słoniowej.")</f>
        <v>Poliwęglanowy uchwyt sufitowy do kamer PTZ i kopułkowych. Kompatybilny z kamerami XNP-6120H, XNV-6120/6120R/6085, XND-6085/6085V, kolor kości słoniowej.</v>
      </c>
      <c r="K487" s="43" t="s">
        <v>21</v>
      </c>
      <c r="L487" s="44">
        <v>73.0</v>
      </c>
      <c r="M487" s="8"/>
      <c r="N487" s="45" t="s">
        <v>22</v>
      </c>
      <c r="O487" s="97"/>
      <c r="P487" s="36"/>
      <c r="Q487" s="35"/>
      <c r="R487" s="68"/>
      <c r="S487" s="68"/>
      <c r="T487" s="68"/>
      <c r="U487" s="35"/>
      <c r="V487" s="35"/>
      <c r="W487" s="35"/>
      <c r="X487" s="35"/>
      <c r="Y487" s="35"/>
      <c r="Z487" s="35"/>
      <c r="AA487" s="35"/>
      <c r="AB487" s="35"/>
      <c r="AC487" s="60"/>
      <c r="AD487" s="85"/>
      <c r="AE487" s="85"/>
      <c r="AF487" s="85"/>
      <c r="AG487" s="85"/>
      <c r="AH487" s="85"/>
      <c r="AI487" s="85"/>
      <c r="AJ487" s="85"/>
      <c r="AK487" s="85"/>
      <c r="AL487" s="85"/>
      <c r="AM487" s="85"/>
      <c r="AN487" s="85"/>
      <c r="AO487" s="85"/>
      <c r="AP487" s="85"/>
    </row>
    <row r="488" ht="79.5" customHeight="1">
      <c r="A488" s="29"/>
      <c r="B488" s="38" t="s">
        <v>23</v>
      </c>
      <c r="C488" s="39" t="s">
        <v>1419</v>
      </c>
      <c r="D488" s="40" t="s">
        <v>1420</v>
      </c>
      <c r="E488" s="118"/>
      <c r="F488" s="40"/>
      <c r="G488" s="39"/>
      <c r="H488" s="41" t="s">
        <v>79</v>
      </c>
      <c r="I488" s="48" t="s">
        <v>1421</v>
      </c>
      <c r="J488" s="42" t="str">
        <f>IFERROR(__xludf.DUMMYFUNCTION("GOOGLETRANSLATE(I488,""en"",""pl"")"),"Biały uchwyt PTZ wpuszczany. Kompatybilny z HCP-6320/6320A, QNP-6230/6250/6320, XNP-6320/6321/6120H.")</f>
        <v>Biały uchwyt PTZ wpuszczany. Kompatybilny z HCP-6320/6320A, QNP-6230/6250/6320, XNP-6320/6321/6120H.</v>
      </c>
      <c r="K488" s="43" t="s">
        <v>21</v>
      </c>
      <c r="L488" s="44">
        <v>159.0</v>
      </c>
      <c r="M488" s="8"/>
      <c r="N488" s="45" t="s">
        <v>22</v>
      </c>
      <c r="O488" s="97"/>
      <c r="P488" s="36"/>
      <c r="Q488" s="35"/>
      <c r="R488" s="68"/>
      <c r="S488" s="68"/>
      <c r="T488" s="68"/>
      <c r="U488" s="35"/>
      <c r="V488" s="35"/>
      <c r="W488" s="35"/>
      <c r="X488" s="35"/>
      <c r="Y488" s="35"/>
      <c r="Z488" s="35"/>
      <c r="AA488" s="35"/>
      <c r="AB488" s="35"/>
      <c r="AC488" s="60"/>
      <c r="AD488" s="85"/>
      <c r="AE488" s="85"/>
      <c r="AF488" s="85"/>
      <c r="AG488" s="85"/>
      <c r="AH488" s="85"/>
      <c r="AI488" s="85"/>
      <c r="AJ488" s="85"/>
      <c r="AK488" s="85"/>
      <c r="AL488" s="85"/>
      <c r="AM488" s="85"/>
      <c r="AN488" s="85"/>
      <c r="AO488" s="85"/>
      <c r="AP488" s="85"/>
    </row>
    <row r="489" ht="79.5" customHeight="1">
      <c r="A489" s="29"/>
      <c r="B489" s="38" t="s">
        <v>23</v>
      </c>
      <c r="C489" s="39" t="s">
        <v>1422</v>
      </c>
      <c r="D489" s="40" t="s">
        <v>1413</v>
      </c>
      <c r="E489" s="118"/>
      <c r="F489" s="40"/>
      <c r="G489" s="39"/>
      <c r="H489" s="41" t="s">
        <v>79</v>
      </c>
      <c r="I489" s="48" t="s">
        <v>1423</v>
      </c>
      <c r="J489" s="42" t="str">
        <f>IFERROR(__xludf.DUMMYFUNCTION("GOOGLETRANSLATE(I489,""en"",""pl"")"),"Kamery PTZ i kopułkowe z poliwęglanu do montażu wpuszczanego w sufit. Kompatybilne z XNP-6120H, XNV-6120/6120R/6085, XND-6085/6085V, białe.")</f>
        <v>Kamery PTZ i kopułkowe z poliwęglanu do montażu wpuszczanego w sufit. Kompatybilne z XNP-6120H, XNV-6120/6120R/6085, XND-6085/6085V, białe.</v>
      </c>
      <c r="K489" s="43" t="s">
        <v>21</v>
      </c>
      <c r="L489" s="44">
        <v>73.0</v>
      </c>
      <c r="M489" s="8"/>
      <c r="N489" s="45" t="s">
        <v>22</v>
      </c>
      <c r="O489" s="97"/>
      <c r="P489" s="36"/>
      <c r="Q489" s="35"/>
      <c r="R489" s="68"/>
      <c r="S489" s="68"/>
      <c r="T489" s="68"/>
      <c r="U489" s="35"/>
      <c r="V489" s="35"/>
      <c r="W489" s="35"/>
      <c r="X489" s="35"/>
      <c r="Y489" s="35"/>
      <c r="Z489" s="35"/>
      <c r="AA489" s="35"/>
      <c r="AB489" s="35"/>
      <c r="AC489" s="60"/>
      <c r="AD489" s="85"/>
      <c r="AE489" s="85"/>
      <c r="AF489" s="85"/>
      <c r="AG489" s="85"/>
      <c r="AH489" s="85"/>
      <c r="AI489" s="85"/>
      <c r="AJ489" s="85"/>
      <c r="AK489" s="85"/>
      <c r="AL489" s="85"/>
      <c r="AM489" s="85"/>
      <c r="AN489" s="85"/>
      <c r="AO489" s="85"/>
      <c r="AP489" s="85"/>
    </row>
    <row r="490" ht="79.5" customHeight="1">
      <c r="A490" s="29"/>
      <c r="B490" s="38" t="s">
        <v>23</v>
      </c>
      <c r="C490" s="39" t="s">
        <v>1424</v>
      </c>
      <c r="D490" s="40" t="s">
        <v>1413</v>
      </c>
      <c r="E490" s="118"/>
      <c r="F490" s="40"/>
      <c r="G490" s="39"/>
      <c r="H490" s="41" t="s">
        <v>79</v>
      </c>
      <c r="I490" s="48" t="s">
        <v>1425</v>
      </c>
      <c r="J490" s="42" t="str">
        <f>IFERROR(__xludf.DUMMYFUNCTION("GOOGLETRANSLATE(I490,""en"",""pl"")"),"Montaż sufitowy z certyfikatem plenum, kompatybilny z: XNP-C7310R i C9310R")</f>
        <v>Montaż sufitowy z certyfikatem plenum, kompatybilny z: XNP-C7310R i C9310R</v>
      </c>
      <c r="K490" s="43" t="s">
        <v>21</v>
      </c>
      <c r="L490" s="44">
        <v>185.0</v>
      </c>
      <c r="M490" s="8"/>
      <c r="N490" s="45" t="s">
        <v>22</v>
      </c>
      <c r="O490" s="97"/>
      <c r="P490" s="36"/>
      <c r="Q490" s="35"/>
      <c r="R490" s="68"/>
      <c r="S490" s="68"/>
      <c r="T490" s="68"/>
      <c r="U490" s="35"/>
      <c r="V490" s="35"/>
      <c r="W490" s="35"/>
      <c r="X490" s="35"/>
      <c r="Y490" s="35"/>
      <c r="Z490" s="35"/>
      <c r="AA490" s="35"/>
      <c r="AB490" s="35"/>
      <c r="AC490" s="60"/>
      <c r="AD490" s="85"/>
      <c r="AE490" s="85"/>
      <c r="AF490" s="85"/>
      <c r="AG490" s="85"/>
      <c r="AH490" s="85"/>
      <c r="AI490" s="85"/>
      <c r="AJ490" s="85"/>
      <c r="AK490" s="85"/>
      <c r="AL490" s="85"/>
      <c r="AM490" s="85"/>
      <c r="AN490" s="85"/>
      <c r="AO490" s="85"/>
      <c r="AP490" s="85"/>
    </row>
    <row r="491" ht="79.5" customHeight="1">
      <c r="A491" s="29"/>
      <c r="B491" s="116" t="s">
        <v>23</v>
      </c>
      <c r="C491" s="117" t="s">
        <v>1426</v>
      </c>
      <c r="D491" s="40" t="s">
        <v>1413</v>
      </c>
      <c r="E491" s="118"/>
      <c r="F491" s="40"/>
      <c r="G491" s="39"/>
      <c r="H491" s="41" t="s">
        <v>79</v>
      </c>
      <c r="I491" s="48" t="s">
        <v>1427</v>
      </c>
      <c r="J491" s="42" t="str">
        <f>IFERROR(__xludf.DUMMYFUNCTION("GOOGLETRANSLATE(I491,""en"",""pl"")"),"Poliwęglanowy uchwyt sufitowy do kamer kopułkowych. Kompatybilny z QND-8021/8011/6021/6011 XND-8040R/8030R/8020R/6020R/6010, biały, RAL9003")</f>
        <v>Poliwęglanowy uchwyt sufitowy do kamer kopułkowych. Kompatybilny z QND-8021/8011/6021/6011 XND-8040R/8030R/8020R/6020R/6010, biały, RAL9003</v>
      </c>
      <c r="K491" s="43" t="s">
        <v>21</v>
      </c>
      <c r="L491" s="44">
        <v>73.0</v>
      </c>
      <c r="M491" s="8"/>
      <c r="N491" s="45" t="s">
        <v>22</v>
      </c>
      <c r="O491" s="97"/>
      <c r="P491" s="36"/>
      <c r="Q491" s="35"/>
      <c r="R491" s="68"/>
      <c r="S491" s="68"/>
      <c r="T491" s="68"/>
      <c r="U491" s="35"/>
      <c r="V491" s="35"/>
      <c r="W491" s="35"/>
      <c r="X491" s="35"/>
      <c r="Y491" s="35"/>
      <c r="Z491" s="35"/>
      <c r="AA491" s="35"/>
      <c r="AB491" s="35"/>
      <c r="AC491" s="60"/>
      <c r="AD491" s="85"/>
      <c r="AE491" s="85"/>
      <c r="AF491" s="85"/>
      <c r="AG491" s="85"/>
      <c r="AH491" s="85"/>
      <c r="AI491" s="85"/>
      <c r="AJ491" s="85"/>
      <c r="AK491" s="85"/>
      <c r="AL491" s="85"/>
      <c r="AM491" s="85"/>
      <c r="AN491" s="85"/>
      <c r="AO491" s="85"/>
      <c r="AP491" s="85"/>
    </row>
    <row r="492" ht="79.5" customHeight="1">
      <c r="A492" s="29"/>
      <c r="B492" s="116" t="s">
        <v>23</v>
      </c>
      <c r="C492" s="117" t="s">
        <v>1428</v>
      </c>
      <c r="D492" s="40" t="s">
        <v>1413</v>
      </c>
      <c r="E492" s="118"/>
      <c r="F492" s="40"/>
      <c r="G492" s="39"/>
      <c r="H492" s="41" t="s">
        <v>79</v>
      </c>
      <c r="I492" s="48" t="s">
        <v>1429</v>
      </c>
      <c r="J492" s="42" t="str">
        <f>IFERROR(__xludf.DUMMYFUNCTION("GOOGLETRANSLATE(I492,""en"",""pl"")"),"Poliwęglanowy uchwyt sufitowy do kamer kopułkowych. Kompatybilny z kamerami QND-6070R/6082R/7080R/8080R, HCD-6070R/6080R/7070R/7080R, biały.")</f>
        <v>Poliwęglanowy uchwyt sufitowy do kamer kopułkowych. Kompatybilny z kamerami QND-6070R/6082R/7080R/8080R, HCD-6070R/6080R/7070R/7080R, biały.</v>
      </c>
      <c r="K492" s="43" t="s">
        <v>21</v>
      </c>
      <c r="L492" s="44">
        <v>54.0</v>
      </c>
      <c r="M492" s="8"/>
      <c r="N492" s="45" t="s">
        <v>22</v>
      </c>
      <c r="O492" s="97"/>
      <c r="P492" s="36"/>
      <c r="Q492" s="35"/>
      <c r="R492" s="68"/>
      <c r="S492" s="68"/>
      <c r="T492" s="68"/>
      <c r="U492" s="35"/>
      <c r="V492" s="35"/>
      <c r="W492" s="35"/>
      <c r="X492" s="35"/>
      <c r="Y492" s="35"/>
      <c r="Z492" s="35"/>
      <c r="AA492" s="35"/>
      <c r="AB492" s="35"/>
      <c r="AC492" s="60"/>
      <c r="AD492" s="85"/>
      <c r="AE492" s="85"/>
      <c r="AF492" s="85"/>
      <c r="AG492" s="85"/>
      <c r="AH492" s="85"/>
      <c r="AI492" s="85"/>
      <c r="AJ492" s="85"/>
      <c r="AK492" s="85"/>
      <c r="AL492" s="85"/>
      <c r="AM492" s="85"/>
      <c r="AN492" s="85"/>
      <c r="AO492" s="85"/>
      <c r="AP492" s="85"/>
    </row>
    <row r="493" ht="79.5" customHeight="1">
      <c r="A493" s="29"/>
      <c r="B493" s="116" t="s">
        <v>23</v>
      </c>
      <c r="C493" s="117" t="s">
        <v>1430</v>
      </c>
      <c r="D493" s="40" t="s">
        <v>1413</v>
      </c>
      <c r="E493" s="118"/>
      <c r="F493" s="40"/>
      <c r="G493" s="39"/>
      <c r="H493" s="41" t="s">
        <v>79</v>
      </c>
      <c r="I493" s="48" t="s">
        <v>1431</v>
      </c>
      <c r="J493" s="42" t="str">
        <f>IFERROR(__xludf.DUMMYFUNCTION("GOOGLETRANSLATE(I493,""en"",""pl"")"),"Uchwyt sufitowy Lite kompatybilny z QNV-C8013R/8023R")</f>
        <v>Uchwyt sufitowy Lite kompatybilny z QNV-C8013R/8023R</v>
      </c>
      <c r="K493" s="43" t="s">
        <v>21</v>
      </c>
      <c r="L493" s="44">
        <v>80.0</v>
      </c>
      <c r="M493" s="8"/>
      <c r="N493" s="45" t="s">
        <v>22</v>
      </c>
      <c r="O493" s="97"/>
      <c r="P493" s="36"/>
      <c r="Q493" s="35"/>
      <c r="R493" s="68"/>
      <c r="S493" s="68"/>
      <c r="T493" s="68"/>
      <c r="U493" s="35"/>
      <c r="V493" s="35"/>
      <c r="W493" s="35"/>
      <c r="X493" s="35"/>
      <c r="Y493" s="35"/>
      <c r="Z493" s="35"/>
      <c r="AA493" s="35"/>
      <c r="AB493" s="35"/>
      <c r="AC493" s="60"/>
      <c r="AD493" s="85"/>
      <c r="AE493" s="85"/>
      <c r="AF493" s="85"/>
      <c r="AG493" s="85"/>
      <c r="AH493" s="85"/>
      <c r="AI493" s="85"/>
      <c r="AJ493" s="85"/>
      <c r="AK493" s="85"/>
      <c r="AL493" s="85"/>
      <c r="AM493" s="85"/>
      <c r="AN493" s="85"/>
      <c r="AO493" s="85"/>
      <c r="AP493" s="85"/>
    </row>
    <row r="494" ht="79.5" customHeight="1">
      <c r="A494" s="29"/>
      <c r="B494" s="116" t="s">
        <v>23</v>
      </c>
      <c r="C494" s="117" t="s">
        <v>1432</v>
      </c>
      <c r="D494" s="40" t="s">
        <v>1433</v>
      </c>
      <c r="E494" s="118"/>
      <c r="F494" s="40"/>
      <c r="G494" s="39"/>
      <c r="H494" s="41" t="s">
        <v>79</v>
      </c>
      <c r="I494" s="48" t="s">
        <v>1434</v>
      </c>
      <c r="J494" s="42" t="str">
        <f>IFERROR(__xludf.DUMMYFUNCTION("GOOGLETRANSLATE(I494,""en"",""pl"")"),"Obudowa sufitowa aluminiowa, kompatybilna z QNV-C8011R/C9011R, QNV-C8012")</f>
        <v>Obudowa sufitowa aluminiowa, kompatybilna z QNV-C8011R/C9011R, QNV-C8012</v>
      </c>
      <c r="K494" s="43" t="s">
        <v>21</v>
      </c>
      <c r="L494" s="44">
        <v>76.0</v>
      </c>
      <c r="M494" s="8"/>
      <c r="N494" s="45" t="s">
        <v>22</v>
      </c>
      <c r="O494" s="97"/>
      <c r="P494" s="36"/>
      <c r="Q494" s="35"/>
      <c r="R494" s="68"/>
      <c r="S494" s="68"/>
      <c r="T494" s="68"/>
      <c r="U494" s="35"/>
      <c r="V494" s="35"/>
      <c r="W494" s="35"/>
      <c r="X494" s="35"/>
      <c r="Y494" s="35"/>
      <c r="Z494" s="35"/>
      <c r="AA494" s="35"/>
      <c r="AB494" s="35"/>
      <c r="AC494" s="60"/>
      <c r="AD494" s="85"/>
      <c r="AE494" s="85"/>
      <c r="AF494" s="85"/>
      <c r="AG494" s="85"/>
      <c r="AH494" s="85"/>
      <c r="AI494" s="85"/>
      <c r="AJ494" s="85"/>
      <c r="AK494" s="85"/>
      <c r="AL494" s="85"/>
      <c r="AM494" s="85"/>
      <c r="AN494" s="85"/>
      <c r="AO494" s="85"/>
      <c r="AP494" s="85"/>
    </row>
    <row r="495" ht="79.5" customHeight="1">
      <c r="A495" s="29"/>
      <c r="B495" s="116" t="s">
        <v>23</v>
      </c>
      <c r="C495" s="117" t="s">
        <v>1435</v>
      </c>
      <c r="D495" s="40" t="s">
        <v>1433</v>
      </c>
      <c r="E495" s="118"/>
      <c r="F495" s="40"/>
      <c r="G495" s="39"/>
      <c r="H495" s="41" t="s">
        <v>79</v>
      </c>
      <c r="I495" s="48" t="s">
        <v>1436</v>
      </c>
      <c r="J495" s="42" t="str">
        <f>IFERROR(__xludf.DUMMYFUNCTION("GOOGLETRANSLATE(I495,""en"",""pl"")"),"Uchwyt sufitowy plenum kompatybilny z QNV-C8013R/C8023R")</f>
        <v>Uchwyt sufitowy plenum kompatybilny z QNV-C8013R/C8023R</v>
      </c>
      <c r="K495" s="43" t="s">
        <v>21</v>
      </c>
      <c r="L495" s="44">
        <v>100.0</v>
      </c>
      <c r="M495" s="8"/>
      <c r="N495" s="45" t="s">
        <v>22</v>
      </c>
      <c r="O495" s="97"/>
      <c r="P495" s="36"/>
      <c r="Q495" s="35"/>
      <c r="R495" s="68"/>
      <c r="S495" s="68"/>
      <c r="T495" s="68"/>
      <c r="U495" s="35"/>
      <c r="V495" s="35"/>
      <c r="W495" s="35"/>
      <c r="X495" s="35"/>
      <c r="Y495" s="35"/>
      <c r="Z495" s="35"/>
      <c r="AA495" s="35"/>
      <c r="AB495" s="35"/>
      <c r="AC495" s="60"/>
      <c r="AD495" s="85"/>
      <c r="AE495" s="85"/>
      <c r="AF495" s="85"/>
      <c r="AG495" s="85"/>
      <c r="AH495" s="85"/>
      <c r="AI495" s="85"/>
      <c r="AJ495" s="85"/>
      <c r="AK495" s="85"/>
      <c r="AL495" s="85"/>
      <c r="AM495" s="85"/>
      <c r="AN495" s="85"/>
      <c r="AO495" s="85"/>
      <c r="AP495" s="85"/>
    </row>
    <row r="496" ht="79.5" customHeight="1">
      <c r="A496" s="29"/>
      <c r="B496" s="116" t="s">
        <v>23</v>
      </c>
      <c r="C496" s="117" t="s">
        <v>1437</v>
      </c>
      <c r="D496" s="40" t="s">
        <v>1438</v>
      </c>
      <c r="E496" s="118"/>
      <c r="F496" s="40"/>
      <c r="G496" s="39"/>
      <c r="H496" s="41" t="s">
        <v>79</v>
      </c>
      <c r="I496" s="48" t="s">
        <v>1439</v>
      </c>
      <c r="J496" s="42" t="str">
        <f>IFERROR(__xludf.DUMMYFUNCTION("GOOGLETRANSLATE(I496,""en"",""pl"")"),"Przekładka do montażu w suficie, kompatybilna z SHD-3000F4 (montaż w suficie) / XND-6083RV, PND-A6081RV")</f>
        <v>Przekładka do montażu w suficie, kompatybilna z SHD-3000F4 (montaż w suficie) / XND-6083RV, PND-A6081RV</v>
      </c>
      <c r="K496" s="43" t="s">
        <v>21</v>
      </c>
      <c r="L496" s="44">
        <v>35.0</v>
      </c>
      <c r="M496" s="8"/>
      <c r="N496" s="45" t="s">
        <v>22</v>
      </c>
      <c r="O496" s="97"/>
      <c r="P496" s="36"/>
      <c r="Q496" s="35"/>
      <c r="R496" s="68"/>
      <c r="S496" s="68"/>
      <c r="T496" s="68"/>
      <c r="U496" s="35"/>
      <c r="V496" s="35"/>
      <c r="W496" s="35"/>
      <c r="X496" s="35"/>
      <c r="Y496" s="35"/>
      <c r="Z496" s="35"/>
      <c r="AA496" s="35"/>
      <c r="AB496" s="35"/>
      <c r="AC496" s="60"/>
      <c r="AD496" s="85"/>
      <c r="AE496" s="85"/>
      <c r="AF496" s="85"/>
      <c r="AG496" s="85"/>
      <c r="AH496" s="85"/>
      <c r="AI496" s="85"/>
      <c r="AJ496" s="85"/>
      <c r="AK496" s="85"/>
      <c r="AL496" s="85"/>
      <c r="AM496" s="85"/>
      <c r="AN496" s="85"/>
      <c r="AO496" s="85"/>
      <c r="AP496" s="85"/>
    </row>
    <row r="497" ht="79.5" customHeight="1">
      <c r="A497" s="29"/>
      <c r="B497" s="116" t="s">
        <v>23</v>
      </c>
      <c r="C497" s="117" t="s">
        <v>1440</v>
      </c>
      <c r="D497" s="40" t="s">
        <v>1438</v>
      </c>
      <c r="E497" s="118"/>
      <c r="F497" s="40"/>
      <c r="G497" s="39"/>
      <c r="H497" s="41" t="s">
        <v>79</v>
      </c>
      <c r="I497" s="48" t="s">
        <v>1441</v>
      </c>
      <c r="J497" s="42" t="str">
        <f>IFERROR(__xludf.DUMMYFUNCTION("GOOGLETRANSLATE(I497,""en"",""pl"")"),"Obudowa sufitowa aluminiowa, RAL9003, kompatybilna z XND-6083RV/8083RV/8093RV/9083RV
XND-8093RV/9083RV")</f>
        <v>Obudowa sufitowa aluminiowa, RAL9003, kompatybilna z XND-6083RV/8083RV/8093RV/9083RV
XND-8093RV/9083RV</v>
      </c>
      <c r="K497" s="43" t="s">
        <v>21</v>
      </c>
      <c r="L497" s="44">
        <v>135.0</v>
      </c>
      <c r="M497" s="8"/>
      <c r="N497" s="45" t="s">
        <v>22</v>
      </c>
      <c r="O497" s="97"/>
      <c r="P497" s="36"/>
      <c r="Q497" s="35"/>
      <c r="R497" s="68"/>
      <c r="S497" s="68"/>
      <c r="T497" s="68"/>
      <c r="U497" s="35"/>
      <c r="V497" s="35"/>
      <c r="W497" s="35"/>
      <c r="X497" s="35"/>
      <c r="Y497" s="35"/>
      <c r="Z497" s="35"/>
      <c r="AA497" s="35"/>
      <c r="AB497" s="35"/>
      <c r="AC497" s="60"/>
      <c r="AD497" s="85"/>
      <c r="AE497" s="85"/>
      <c r="AF497" s="85"/>
      <c r="AG497" s="85"/>
      <c r="AH497" s="85"/>
      <c r="AI497" s="85"/>
      <c r="AJ497" s="85"/>
      <c r="AK497" s="85"/>
      <c r="AL497" s="85"/>
      <c r="AM497" s="85"/>
      <c r="AN497" s="85"/>
      <c r="AO497" s="85"/>
      <c r="AP497" s="85"/>
    </row>
    <row r="498" ht="79.5" customHeight="1">
      <c r="A498" s="29"/>
      <c r="B498" s="116" t="s">
        <v>23</v>
      </c>
      <c r="C498" s="117" t="s">
        <v>1442</v>
      </c>
      <c r="D498" s="40" t="s">
        <v>1410</v>
      </c>
      <c r="E498" s="118"/>
      <c r="F498" s="40"/>
      <c r="G498" s="39"/>
      <c r="H498" s="41" t="s">
        <v>79</v>
      </c>
      <c r="I498" s="48" t="s">
        <v>1443</v>
      </c>
      <c r="J498" s="42" t="str">
        <f>IFERROR(__xludf.DUMMYFUNCTION("GOOGLETRANSLATE(I498,""en"",""pl"")"),"Montaż sufitowy plenum kompatybilny z XNV-6123R, XNV-6083RZ/8083RZ/9083RZ, XNV-6083Z/8083Z, XNV-6083R/8083R/8093R/9083R, XNV-8082R/9082R, PNV-A6081R/A9081R,PNV-A7082RZ/A9082RZ")</f>
        <v>Montaż sufitowy plenum kompatybilny z XNV-6123R, XNV-6083RZ/8083RZ/9083RZ, XNV-6083Z/8083Z, XNV-6083R/8083R/8093R/9083R, XNV-8082R/9082R, PNV-A6081R/A9081R,PNV-A7082RZ/A9082RZ</v>
      </c>
      <c r="K498" s="43" t="s">
        <v>21</v>
      </c>
      <c r="L498" s="44">
        <v>125.0</v>
      </c>
      <c r="M498" s="8"/>
      <c r="N498" s="45" t="s">
        <v>22</v>
      </c>
      <c r="O498" s="97"/>
      <c r="P498" s="36"/>
      <c r="Q498" s="35"/>
      <c r="R498" s="68"/>
      <c r="S498" s="68"/>
      <c r="T498" s="68"/>
      <c r="U498" s="35"/>
      <c r="V498" s="35"/>
      <c r="W498" s="35"/>
      <c r="X498" s="35"/>
      <c r="Y498" s="35"/>
      <c r="Z498" s="35"/>
      <c r="AA498" s="35"/>
      <c r="AB498" s="35"/>
      <c r="AC498" s="60"/>
      <c r="AD498" s="85"/>
      <c r="AE498" s="85"/>
      <c r="AF498" s="85"/>
      <c r="AG498" s="85"/>
      <c r="AH498" s="85"/>
      <c r="AI498" s="85"/>
      <c r="AJ498" s="85"/>
      <c r="AK498" s="85"/>
      <c r="AL498" s="85"/>
      <c r="AM498" s="85"/>
      <c r="AN498" s="85"/>
      <c r="AO498" s="85"/>
      <c r="AP498" s="85"/>
    </row>
    <row r="499" ht="79.5" customHeight="1">
      <c r="A499" s="29"/>
      <c r="B499" s="116" t="s">
        <v>23</v>
      </c>
      <c r="C499" s="117" t="s">
        <v>1444</v>
      </c>
      <c r="D499" s="40" t="s">
        <v>1410</v>
      </c>
      <c r="E499" s="118"/>
      <c r="F499" s="40"/>
      <c r="G499" s="39"/>
      <c r="H499" s="41" t="s">
        <v>79</v>
      </c>
      <c r="I499" s="48" t="s">
        <v>1445</v>
      </c>
      <c r="J499" s="42" t="str">
        <f>IFERROR(__xludf.DUMMYFUNCTION("GOOGLETRANSLATE(I499,""en"",""pl"")"),"Uchwyt sufitowy Plenum zgodny z PND-A7082RV, PND-A9082RV, PND-A6081R, PND-A9081R, XND-6083RV, XND-8083RV,
XND-8093RV, XND-9083RV")</f>
        <v>Uchwyt sufitowy Plenum zgodny z PND-A7082RV, PND-A9082RV, PND-A6081R, PND-A9081R, XND-6083RV, XND-8083RV,
XND-8093RV, XND-9083RV</v>
      </c>
      <c r="K499" s="43" t="s">
        <v>21</v>
      </c>
      <c r="L499" s="44">
        <v>135.0</v>
      </c>
      <c r="M499" s="8"/>
      <c r="N499" s="45" t="s">
        <v>22</v>
      </c>
      <c r="O499" s="97"/>
      <c r="P499" s="36"/>
      <c r="Q499" s="35"/>
      <c r="R499" s="68"/>
      <c r="S499" s="68"/>
      <c r="T499" s="68"/>
      <c r="U499" s="35"/>
      <c r="V499" s="35"/>
      <c r="W499" s="35"/>
      <c r="X499" s="35"/>
      <c r="Y499" s="35"/>
      <c r="Z499" s="35"/>
      <c r="AA499" s="35"/>
      <c r="AB499" s="35"/>
      <c r="AC499" s="60"/>
      <c r="AD499" s="85"/>
      <c r="AE499" s="85"/>
      <c r="AF499" s="85"/>
      <c r="AG499" s="85"/>
      <c r="AH499" s="85"/>
      <c r="AI499" s="85"/>
      <c r="AJ499" s="85"/>
      <c r="AK499" s="85"/>
      <c r="AL499" s="85"/>
      <c r="AM499" s="85"/>
      <c r="AN499" s="85"/>
      <c r="AO499" s="85"/>
      <c r="AP499" s="85"/>
    </row>
    <row r="500" ht="79.5" customHeight="1">
      <c r="A500" s="29"/>
      <c r="B500" s="38" t="s">
        <v>23</v>
      </c>
      <c r="C500" s="39" t="s">
        <v>1446</v>
      </c>
      <c r="D500" s="40" t="s">
        <v>1410</v>
      </c>
      <c r="E500" s="118"/>
      <c r="F500" s="40"/>
      <c r="G500" s="39"/>
      <c r="H500" s="41" t="s">
        <v>79</v>
      </c>
      <c r="I500" s="48" t="s">
        <v>1447</v>
      </c>
      <c r="J500" s="42" t="str">
        <f>IFERROR(__xludf.DUMMYFUNCTION("GOOGLETRANSLATE(I500,""en"",""pl"")"),"Plenum do montażu w suficie dla QNV-C8083R/C9083R")</f>
        <v>Plenum do montażu w suficie dla QNV-C8083R/C9083R</v>
      </c>
      <c r="K500" s="43" t="s">
        <v>21</v>
      </c>
      <c r="L500" s="44">
        <v>135.0</v>
      </c>
      <c r="M500" s="8"/>
      <c r="N500" s="45" t="s">
        <v>22</v>
      </c>
      <c r="O500" s="97"/>
      <c r="P500" s="36"/>
      <c r="Q500" s="35"/>
      <c r="R500" s="68"/>
      <c r="S500" s="68"/>
      <c r="T500" s="68"/>
      <c r="U500" s="35"/>
      <c r="V500" s="35"/>
      <c r="W500" s="35"/>
      <c r="X500" s="35"/>
      <c r="Y500" s="35"/>
      <c r="Z500" s="35"/>
      <c r="AA500" s="35"/>
      <c r="AB500" s="35"/>
      <c r="AC500" s="60"/>
      <c r="AD500" s="85"/>
      <c r="AE500" s="85"/>
      <c r="AF500" s="85"/>
      <c r="AG500" s="85"/>
      <c r="AH500" s="85"/>
      <c r="AI500" s="85"/>
      <c r="AJ500" s="85"/>
      <c r="AK500" s="85"/>
      <c r="AL500" s="85"/>
      <c r="AM500" s="85"/>
      <c r="AN500" s="85"/>
      <c r="AO500" s="85"/>
      <c r="AP500" s="85"/>
    </row>
    <row r="501" ht="79.5" customHeight="1">
      <c r="A501" s="29"/>
      <c r="B501" s="38" t="s">
        <v>23</v>
      </c>
      <c r="C501" s="39" t="s">
        <v>1448</v>
      </c>
      <c r="D501" s="40" t="s">
        <v>1410</v>
      </c>
      <c r="E501" s="118"/>
      <c r="F501" s="40"/>
      <c r="G501" s="39"/>
      <c r="H501" s="41" t="s">
        <v>79</v>
      </c>
      <c r="I501" s="48" t="s">
        <v>1449</v>
      </c>
      <c r="J501" s="42" t="str">
        <f>IFERROR(__xludf.DUMMYFUNCTION("GOOGLETRANSLATE(I501,""en"",""pl"")"),"Uchwyt sufitowy do QNV-C8083R/C9083R")</f>
        <v>Uchwyt sufitowy do QNV-C8083R/C9083R</v>
      </c>
      <c r="K501" s="43" t="s">
        <v>21</v>
      </c>
      <c r="L501" s="44">
        <v>79.0</v>
      </c>
      <c r="M501" s="8"/>
      <c r="N501" s="45" t="s">
        <v>22</v>
      </c>
      <c r="O501" s="97"/>
      <c r="P501" s="36"/>
      <c r="Q501" s="35"/>
      <c r="R501" s="68"/>
      <c r="S501" s="68"/>
      <c r="T501" s="68"/>
      <c r="U501" s="35"/>
      <c r="V501" s="35"/>
      <c r="W501" s="35"/>
      <c r="X501" s="35"/>
      <c r="Y501" s="35"/>
      <c r="Z501" s="35"/>
      <c r="AA501" s="35"/>
      <c r="AB501" s="35"/>
      <c r="AC501" s="60"/>
      <c r="AD501" s="85"/>
      <c r="AE501" s="85"/>
      <c r="AF501" s="85"/>
      <c r="AG501" s="85"/>
      <c r="AH501" s="85"/>
      <c r="AI501" s="85"/>
      <c r="AJ501" s="85"/>
      <c r="AK501" s="85"/>
      <c r="AL501" s="85"/>
      <c r="AM501" s="85"/>
      <c r="AN501" s="85"/>
      <c r="AO501" s="85"/>
      <c r="AP501" s="85"/>
    </row>
    <row r="502" ht="79.5" customHeight="1">
      <c r="A502" s="29"/>
      <c r="B502" s="38" t="s">
        <v>23</v>
      </c>
      <c r="C502" s="39" t="s">
        <v>1450</v>
      </c>
      <c r="D502" s="40" t="s">
        <v>1413</v>
      </c>
      <c r="E502" s="118"/>
      <c r="F502" s="40"/>
      <c r="G502" s="39"/>
      <c r="H502" s="41" t="s">
        <v>79</v>
      </c>
      <c r="I502" s="48" t="s">
        <v>1451</v>
      </c>
      <c r="J502" s="42" t="str">
        <f>IFERROR(__xludf.DUMMYFUNCTION("GOOGLETRANSLATE(I502,""en"",""pl"")"),"Poliwęglanowy uchwyt sufitowy do kamer kopułkowych. Kompatybilny z kamerami PND-9080R, XND-6080/6080R/6080RV/6080V/8080R/8080V/8080RV/L6080R/L6080RV/L6080V, HCV-6070R/6080/6080R/7070R/7080R, QNV-6082R1, biały.")</f>
        <v>Poliwęglanowy uchwyt sufitowy do kamer kopułkowych. Kompatybilny z kamerami PND-9080R, XND-6080/6080R/6080RV/6080V/8080R/8080V/8080RV/L6080R/L6080RV/L6080V, HCV-6070R/6080/6080R/7070R/7080R, QNV-6082R1, biały.</v>
      </c>
      <c r="K502" s="43" t="s">
        <v>21</v>
      </c>
      <c r="L502" s="44">
        <v>54.0</v>
      </c>
      <c r="M502" s="8"/>
      <c r="N502" s="45" t="s">
        <v>22</v>
      </c>
      <c r="O502" s="97"/>
      <c r="P502" s="36"/>
      <c r="Q502" s="35"/>
      <c r="R502" s="68"/>
      <c r="S502" s="68"/>
      <c r="T502" s="68"/>
      <c r="U502" s="35"/>
      <c r="V502" s="35"/>
      <c r="W502" s="35"/>
      <c r="X502" s="35"/>
      <c r="Y502" s="35"/>
      <c r="Z502" s="35"/>
      <c r="AA502" s="35"/>
      <c r="AB502" s="35"/>
      <c r="AC502" s="60"/>
      <c r="AD502" s="85"/>
      <c r="AE502" s="85"/>
      <c r="AF502" s="85"/>
      <c r="AG502" s="85"/>
      <c r="AH502" s="85"/>
      <c r="AI502" s="85"/>
      <c r="AJ502" s="85"/>
      <c r="AK502" s="85"/>
      <c r="AL502" s="85"/>
      <c r="AM502" s="85"/>
      <c r="AN502" s="85"/>
      <c r="AO502" s="85"/>
      <c r="AP502" s="85"/>
    </row>
    <row r="503" ht="79.5" customHeight="1">
      <c r="A503" s="29"/>
      <c r="B503" s="38" t="s">
        <v>23</v>
      </c>
      <c r="C503" s="39" t="s">
        <v>1452</v>
      </c>
      <c r="D503" s="40" t="s">
        <v>1453</v>
      </c>
      <c r="E503" s="118"/>
      <c r="F503" s="40"/>
      <c r="G503" s="39"/>
      <c r="H503" s="41" t="s">
        <v>79</v>
      </c>
      <c r="I503" s="48" t="s">
        <v>1454</v>
      </c>
      <c r="J503" s="42" t="str">
        <f>IFERROR(__xludf.DUMMYFUNCTION("GOOGLETRANSLATE(I503,""en"",""pl"")"),"Uchwyt sufitowy z poliwęglanu do montażu podtynkowego kamer kopułkowych, biały, kompatybilny z modelami HCD-6080R/7070RA, QND-6082R/8080R, XNV-6010/6020R/8020R/8030R/8040R, HCV-7010RA/7020RA/7030RA/6080R/6070R, LNV-6012R/6022R/6032R/6072R, QNV-6012R/6022R"&amp;"/6032R/6082R/8010R/8020R/8030R/8080r, XND-6080V/6080RV/8080RV, XND-L6080V/6080RV, XNP-6040H")</f>
        <v>Uchwyt sufitowy z poliwęglanu do montażu podtynkowego kamer kopułkowych, biały, kompatybilny z modelami HCD-6080R/7070RA, QND-6082R/8080R, XNV-6010/6020R/8020R/8030R/8040R, HCV-7010RA/7020RA/7030RA/6080R/6070R, LNV-6012R/6022R/6032R/6072R, QNV-6012R/6022R/6032R/6082R/8010R/8020R/8030R/8080r, XND-6080V/6080RV/8080RV, XND-L6080V/6080RV, XNP-6040H</v>
      </c>
      <c r="K503" s="43" t="s">
        <v>21</v>
      </c>
      <c r="L503" s="44">
        <v>125.0</v>
      </c>
      <c r="M503" s="8"/>
      <c r="N503" s="45" t="s">
        <v>22</v>
      </c>
      <c r="O503" s="97"/>
      <c r="P503" s="36"/>
      <c r="Q503" s="35"/>
      <c r="R503" s="68"/>
      <c r="S503" s="68"/>
      <c r="T503" s="68"/>
      <c r="U503" s="35"/>
      <c r="V503" s="35"/>
      <c r="W503" s="35"/>
      <c r="X503" s="35"/>
      <c r="Y503" s="35"/>
      <c r="Z503" s="35"/>
      <c r="AA503" s="35"/>
      <c r="AB503" s="35"/>
      <c r="AC503" s="60"/>
      <c r="AD503" s="85"/>
      <c r="AE503" s="85"/>
      <c r="AF503" s="85"/>
      <c r="AG503" s="85"/>
      <c r="AH503" s="85"/>
      <c r="AI503" s="85"/>
      <c r="AJ503" s="85"/>
      <c r="AK503" s="85"/>
      <c r="AL503" s="85"/>
      <c r="AM503" s="85"/>
      <c r="AN503" s="85"/>
      <c r="AO503" s="85"/>
      <c r="AP503" s="85"/>
    </row>
    <row r="504" ht="79.5" customHeight="1">
      <c r="A504" s="29"/>
      <c r="B504" s="38" t="s">
        <v>23</v>
      </c>
      <c r="C504" s="39" t="s">
        <v>1455</v>
      </c>
      <c r="D504" s="40" t="s">
        <v>1413</v>
      </c>
      <c r="E504" s="118"/>
      <c r="F504" s="40"/>
      <c r="G504" s="39"/>
      <c r="H504" s="41" t="s">
        <v>79</v>
      </c>
      <c r="I504" s="48" t="s">
        <v>1456</v>
      </c>
      <c r="J504" s="42" t="str">
        <f>IFERROR(__xludf.DUMMYFUNCTION("GOOGLETRANSLATE(I504,""en"",""pl"")"),"Uchwyt sufitowy Lite kompatybilny z QND-C8013R/C8023R")</f>
        <v>Uchwyt sufitowy Lite kompatybilny z QND-C8013R/C8023R</v>
      </c>
      <c r="K504" s="43" t="s">
        <v>21</v>
      </c>
      <c r="L504" s="44">
        <v>80.0</v>
      </c>
      <c r="M504" s="8"/>
      <c r="N504" s="45" t="s">
        <v>22</v>
      </c>
      <c r="O504" s="97"/>
      <c r="P504" s="36"/>
      <c r="Q504" s="35"/>
      <c r="R504" s="68"/>
      <c r="S504" s="68"/>
      <c r="T504" s="68"/>
      <c r="U504" s="35"/>
      <c r="V504" s="35"/>
      <c r="W504" s="35"/>
      <c r="X504" s="35"/>
      <c r="Y504" s="35"/>
      <c r="Z504" s="35"/>
      <c r="AA504" s="35"/>
      <c r="AB504" s="35"/>
      <c r="AC504" s="60"/>
      <c r="AD504" s="85"/>
      <c r="AE504" s="85"/>
      <c r="AF504" s="85"/>
      <c r="AG504" s="85"/>
      <c r="AH504" s="85"/>
      <c r="AI504" s="85"/>
      <c r="AJ504" s="85"/>
      <c r="AK504" s="85"/>
      <c r="AL504" s="85"/>
      <c r="AM504" s="85"/>
      <c r="AN504" s="85"/>
      <c r="AO504" s="85"/>
      <c r="AP504" s="85"/>
    </row>
    <row r="505" ht="79.5" customHeight="1">
      <c r="A505" s="29"/>
      <c r="B505" s="38" t="s">
        <v>23</v>
      </c>
      <c r="C505" s="39" t="s">
        <v>1457</v>
      </c>
      <c r="D505" s="40" t="s">
        <v>1420</v>
      </c>
      <c r="E505" s="118"/>
      <c r="F505" s="40"/>
      <c r="G505" s="39"/>
      <c r="H505" s="41" t="s">
        <v>79</v>
      </c>
      <c r="I505" s="48" t="s">
        <v>1458</v>
      </c>
      <c r="J505" s="42" t="str">
        <f>IFERROR(__xludf.DUMMYFUNCTION("GOOGLETRANSLATE(I505,""en"",""pl"")"),"Uchwyt sufitowy plenum kompatybilny z QND-C8013R/C8023R")</f>
        <v>Uchwyt sufitowy plenum kompatybilny z QND-C8013R/C8023R</v>
      </c>
      <c r="K505" s="43" t="s">
        <v>21</v>
      </c>
      <c r="L505" s="44">
        <v>100.0</v>
      </c>
      <c r="M505" s="8"/>
      <c r="N505" s="45" t="s">
        <v>22</v>
      </c>
      <c r="O505" s="97"/>
      <c r="P505" s="36"/>
      <c r="Q505" s="35"/>
      <c r="R505" s="68"/>
      <c r="S505" s="68"/>
      <c r="T505" s="68"/>
      <c r="U505" s="35"/>
      <c r="V505" s="35"/>
      <c r="W505" s="35"/>
      <c r="X505" s="35"/>
      <c r="Y505" s="35"/>
      <c r="Z505" s="35"/>
      <c r="AA505" s="35"/>
      <c r="AB505" s="35"/>
      <c r="AC505" s="60"/>
      <c r="AD505" s="85"/>
      <c r="AE505" s="85"/>
      <c r="AF505" s="85"/>
      <c r="AG505" s="85"/>
      <c r="AH505" s="85"/>
      <c r="AI505" s="85"/>
      <c r="AJ505" s="85"/>
      <c r="AK505" s="85"/>
      <c r="AL505" s="85"/>
      <c r="AM505" s="85"/>
      <c r="AN505" s="85"/>
      <c r="AO505" s="85"/>
      <c r="AP505" s="85"/>
    </row>
    <row r="506" ht="79.5" customHeight="1">
      <c r="A506" s="29"/>
      <c r="B506" s="38" t="s">
        <v>23</v>
      </c>
      <c r="C506" s="39" t="s">
        <v>1459</v>
      </c>
      <c r="D506" s="40" t="s">
        <v>1410</v>
      </c>
      <c r="E506" s="118"/>
      <c r="F506" s="40"/>
      <c r="G506" s="39"/>
      <c r="H506" s="41" t="s">
        <v>79</v>
      </c>
      <c r="I506" s="48" t="s">
        <v>1460</v>
      </c>
      <c r="J506" s="42" t="str">
        <f>IFERROR(__xludf.DUMMYFUNCTION("GOOGLETRANSLATE(I506,""en"",""pl"")"),"Uchwyt sufitowy typu Lite kompatybilny z QNF-9010/8010")</f>
        <v>Uchwyt sufitowy typu Lite kompatybilny z QNF-9010/8010</v>
      </c>
      <c r="K506" s="43" t="s">
        <v>21</v>
      </c>
      <c r="L506" s="44">
        <v>80.0</v>
      </c>
      <c r="M506" s="8"/>
      <c r="N506" s="45" t="s">
        <v>22</v>
      </c>
      <c r="O506" s="97"/>
      <c r="P506" s="36"/>
      <c r="Q506" s="35"/>
      <c r="R506" s="68"/>
      <c r="S506" s="68"/>
      <c r="T506" s="68"/>
      <c r="U506" s="35"/>
      <c r="V506" s="35"/>
      <c r="W506" s="35"/>
      <c r="X506" s="35"/>
      <c r="Y506" s="35"/>
      <c r="Z506" s="35"/>
      <c r="AA506" s="35"/>
      <c r="AB506" s="35"/>
      <c r="AC506" s="60"/>
      <c r="AD506" s="85"/>
      <c r="AE506" s="85"/>
      <c r="AF506" s="85"/>
      <c r="AG506" s="85"/>
      <c r="AH506" s="85"/>
      <c r="AI506" s="85"/>
      <c r="AJ506" s="85"/>
      <c r="AK506" s="85"/>
      <c r="AL506" s="85"/>
      <c r="AM506" s="85"/>
      <c r="AN506" s="85"/>
      <c r="AO506" s="85"/>
      <c r="AP506" s="85"/>
    </row>
    <row r="507" ht="79.5" customHeight="1">
      <c r="A507" s="29"/>
      <c r="B507" s="38" t="s">
        <v>23</v>
      </c>
      <c r="C507" s="39" t="s">
        <v>1461</v>
      </c>
      <c r="D507" s="40" t="s">
        <v>1413</v>
      </c>
      <c r="E507" s="118"/>
      <c r="F507" s="40"/>
      <c r="G507" s="39"/>
      <c r="H507" s="41" t="s">
        <v>79</v>
      </c>
      <c r="I507" s="48" t="s">
        <v>1462</v>
      </c>
      <c r="J507" s="42" t="str">
        <f>IFERROR(__xludf.DUMMYFUNCTION("GOOGLETRANSLATE(I507,""en"",""pl"")"),"Poliwęglanowy uchwyt sufitowy do kamer kopułkowych. Kompatybilny z PNV-9080R, XNF-9010RV/8010R/8010RV, XND-6085/6085V, XNV-6085/6120/6120R/8080R/6080R/6080, XNV-L6080R/L6080, biały, RAL9003.")</f>
        <v>Poliwęglanowy uchwyt sufitowy do kamer kopułkowych. Kompatybilny z PNV-9080R, XNF-9010RV/8010R/8010RV, XND-6085/6085V, XNV-6085/6120/6120R/8080R/6080R/6080, XNV-L6080R/L6080, biały, RAL9003.</v>
      </c>
      <c r="K507" s="43" t="s">
        <v>21</v>
      </c>
      <c r="L507" s="44">
        <v>174.0</v>
      </c>
      <c r="M507" s="8"/>
      <c r="N507" s="45" t="s">
        <v>22</v>
      </c>
      <c r="O507" s="97"/>
      <c r="P507" s="35"/>
      <c r="Q507" s="35"/>
      <c r="R507" s="68"/>
      <c r="S507" s="68"/>
      <c r="T507" s="68"/>
      <c r="U507" s="35"/>
      <c r="V507" s="35"/>
      <c r="W507" s="35"/>
      <c r="X507" s="35"/>
      <c r="Y507" s="35"/>
      <c r="Z507" s="35"/>
      <c r="AA507" s="35"/>
      <c r="AB507" s="35"/>
      <c r="AC507" s="101"/>
      <c r="AD507" s="98"/>
      <c r="AE507" s="98"/>
      <c r="AF507" s="98"/>
      <c r="AG507" s="98"/>
      <c r="AH507" s="98"/>
      <c r="AI507" s="98"/>
      <c r="AJ507" s="98"/>
      <c r="AK507" s="98"/>
      <c r="AL507" s="98"/>
      <c r="AM507" s="98"/>
      <c r="AN507" s="98"/>
      <c r="AO507" s="98"/>
      <c r="AP507" s="98"/>
    </row>
    <row r="508" ht="79.5" customHeight="1">
      <c r="A508" s="29"/>
      <c r="B508" s="38" t="s">
        <v>23</v>
      </c>
      <c r="C508" s="39" t="s">
        <v>1463</v>
      </c>
      <c r="D508" s="40" t="s">
        <v>1464</v>
      </c>
      <c r="E508" s="118"/>
      <c r="F508" s="40"/>
      <c r="G508" s="39"/>
      <c r="H508" s="41" t="s">
        <v>79</v>
      </c>
      <c r="I508" s="48" t="s">
        <v>1465</v>
      </c>
      <c r="J508" s="42" t="str">
        <f>IFERROR(__xludf.DUMMYFUNCTION("GOOGLETRANSLATE(I508,""en"",""pl"")"),"Uchwyt sufitowy zgodny z XND-C6083RV, XND-C7083RV, XND-C8083RV, XND-C9083RV")</f>
        <v>Uchwyt sufitowy zgodny z XND-C6083RV, XND-C7083RV, XND-C8083RV, XND-C9083RV</v>
      </c>
      <c r="K508" s="43" t="s">
        <v>21</v>
      </c>
      <c r="L508" s="44">
        <v>65.0</v>
      </c>
      <c r="M508" s="8"/>
      <c r="N508" s="45" t="s">
        <v>22</v>
      </c>
      <c r="O508" s="97"/>
      <c r="P508" s="35"/>
      <c r="Q508" s="35"/>
      <c r="R508" s="68"/>
      <c r="S508" s="68"/>
      <c r="T508" s="68"/>
      <c r="U508" s="35"/>
      <c r="V508" s="35"/>
      <c r="W508" s="35"/>
      <c r="X508" s="35"/>
      <c r="Y508" s="35"/>
      <c r="Z508" s="35"/>
      <c r="AA508" s="35"/>
      <c r="AB508" s="35"/>
      <c r="AC508" s="101"/>
      <c r="AD508" s="98"/>
      <c r="AE508" s="98"/>
      <c r="AF508" s="98"/>
      <c r="AG508" s="98"/>
      <c r="AH508" s="98"/>
      <c r="AI508" s="98"/>
      <c r="AJ508" s="98"/>
      <c r="AK508" s="98"/>
      <c r="AL508" s="98"/>
      <c r="AM508" s="98"/>
      <c r="AN508" s="98"/>
      <c r="AO508" s="98"/>
      <c r="AP508" s="98"/>
    </row>
    <row r="509" ht="79.5" customHeight="1">
      <c r="A509" s="29"/>
      <c r="B509" s="38" t="s">
        <v>23</v>
      </c>
      <c r="C509" s="39" t="s">
        <v>1466</v>
      </c>
      <c r="D509" s="40" t="s">
        <v>1464</v>
      </c>
      <c r="E509" s="118"/>
      <c r="F509" s="40"/>
      <c r="G509" s="39"/>
      <c r="H509" s="41" t="s">
        <v>79</v>
      </c>
      <c r="I509" s="48" t="s">
        <v>1467</v>
      </c>
      <c r="J509" s="42" t="str">
        <f>IFERROR(__xludf.DUMMYFUNCTION("GOOGLETRANSLATE(I509,""en"",""pl"")"),"Montaż sufitowy z certyfikatem plenum, kompatybilny z: PNM-C16013RVQ")</f>
        <v>Montaż sufitowy z certyfikatem plenum, kompatybilny z: PNM-C16013RVQ</v>
      </c>
      <c r="K509" s="43" t="s">
        <v>21</v>
      </c>
      <c r="L509" s="44">
        <v>170.0</v>
      </c>
      <c r="M509" s="8"/>
      <c r="N509" s="45" t="s">
        <v>22</v>
      </c>
      <c r="O509" s="97"/>
      <c r="P509" s="36"/>
      <c r="Q509" s="35"/>
      <c r="R509" s="68"/>
      <c r="S509" s="68"/>
      <c r="T509" s="68"/>
      <c r="U509" s="35"/>
      <c r="V509" s="35"/>
      <c r="W509" s="35"/>
      <c r="X509" s="35"/>
      <c r="Y509" s="35"/>
      <c r="Z509" s="35"/>
      <c r="AA509" s="35"/>
      <c r="AB509" s="35"/>
      <c r="AC509" s="60"/>
      <c r="AD509" s="85"/>
      <c r="AE509" s="85"/>
      <c r="AF509" s="85"/>
      <c r="AG509" s="85"/>
      <c r="AH509" s="85"/>
      <c r="AI509" s="85"/>
      <c r="AJ509" s="85"/>
      <c r="AK509" s="85"/>
      <c r="AL509" s="85"/>
      <c r="AM509" s="85"/>
      <c r="AN509" s="85"/>
      <c r="AO509" s="85"/>
      <c r="AP509" s="85"/>
    </row>
    <row r="510" ht="79.5" customHeight="1">
      <c r="A510" s="29"/>
      <c r="B510" s="38" t="s">
        <v>23</v>
      </c>
      <c r="C510" s="39" t="s">
        <v>1468</v>
      </c>
      <c r="D510" s="40" t="s">
        <v>1464</v>
      </c>
      <c r="E510" s="118"/>
      <c r="F510" s="40"/>
      <c r="G510" s="39"/>
      <c r="H510" s="41" t="s">
        <v>79</v>
      </c>
      <c r="I510" s="48" t="s">
        <v>1469</v>
      </c>
      <c r="J510" s="42" t="str">
        <f>IFERROR(__xludf.DUMMYFUNCTION("GOOGLETRANSLATE(I510,""en"",""pl"")"),"Uchwyt sufitowy do PNM-C32083RVQ i PNM-C16083RVQ")</f>
        <v>Uchwyt sufitowy do PNM-C32083RVQ i PNM-C16083RVQ</v>
      </c>
      <c r="K510" s="43" t="s">
        <v>21</v>
      </c>
      <c r="L510" s="44">
        <v>250.0</v>
      </c>
      <c r="M510" s="8"/>
      <c r="N510" s="45" t="s">
        <v>22</v>
      </c>
      <c r="O510" s="97"/>
      <c r="P510" s="36"/>
      <c r="Q510" s="35"/>
      <c r="R510" s="68"/>
      <c r="S510" s="68"/>
      <c r="T510" s="68"/>
      <c r="U510" s="35"/>
      <c r="V510" s="35"/>
      <c r="W510" s="35"/>
      <c r="X510" s="35"/>
      <c r="Y510" s="35"/>
      <c r="Z510" s="35"/>
      <c r="AA510" s="35"/>
      <c r="AB510" s="35"/>
      <c r="AC510" s="60"/>
      <c r="AD510" s="85"/>
      <c r="AE510" s="85"/>
      <c r="AF510" s="85"/>
      <c r="AG510" s="85"/>
      <c r="AH510" s="85"/>
      <c r="AI510" s="85"/>
      <c r="AJ510" s="85"/>
      <c r="AK510" s="85"/>
      <c r="AL510" s="85"/>
      <c r="AM510" s="85"/>
      <c r="AN510" s="85"/>
      <c r="AO510" s="85"/>
      <c r="AP510" s="85"/>
    </row>
    <row r="511" ht="79.5" customHeight="1">
      <c r="A511" s="29"/>
      <c r="B511" s="38" t="s">
        <v>23</v>
      </c>
      <c r="C511" s="39" t="s">
        <v>1470</v>
      </c>
      <c r="D511" s="40" t="s">
        <v>1471</v>
      </c>
      <c r="E511" s="118"/>
      <c r="F511" s="40"/>
      <c r="G511" s="39"/>
      <c r="H511" s="41" t="s">
        <v>79</v>
      </c>
      <c r="I511" s="48" t="s">
        <v>1472</v>
      </c>
      <c r="J511" s="42" t="str">
        <f>IFERROR(__xludf.DUMMYFUNCTION("GOOGLETRANSLATE(I511,""en"",""pl"")"),"Montaż sufitowy z klasą plenum, kompatybilny z PNM-C19183RVTP")</f>
        <v>Montaż sufitowy z klasą plenum, kompatybilny z PNM-C19183RVTP</v>
      </c>
      <c r="K511" s="43" t="s">
        <v>21</v>
      </c>
      <c r="L511" s="44">
        <v>250.0</v>
      </c>
      <c r="M511" s="8"/>
      <c r="N511" s="45" t="s">
        <v>22</v>
      </c>
      <c r="O511" s="97"/>
      <c r="P511" s="35"/>
      <c r="Q511" s="35"/>
      <c r="R511" s="68"/>
      <c r="S511" s="68"/>
      <c r="T511" s="68"/>
      <c r="U511" s="35"/>
      <c r="V511" s="35"/>
      <c r="W511" s="35"/>
      <c r="X511" s="35"/>
      <c r="Y511" s="35"/>
      <c r="Z511" s="35"/>
      <c r="AA511" s="35"/>
      <c r="AB511" s="35"/>
      <c r="AC511" s="101"/>
      <c r="AD511" s="98"/>
      <c r="AE511" s="98"/>
      <c r="AF511" s="98"/>
      <c r="AG511" s="98"/>
      <c r="AH511" s="98"/>
      <c r="AI511" s="98"/>
      <c r="AJ511" s="98"/>
      <c r="AK511" s="98"/>
      <c r="AL511" s="98"/>
      <c r="AM511" s="98"/>
      <c r="AN511" s="98"/>
      <c r="AO511" s="98"/>
      <c r="AP511" s="98"/>
    </row>
    <row r="512" ht="79.5" customHeight="1">
      <c r="A512" s="29"/>
      <c r="B512" s="38" t="s">
        <v>23</v>
      </c>
      <c r="C512" s="39" t="s">
        <v>1473</v>
      </c>
      <c r="D512" s="40" t="s">
        <v>1413</v>
      </c>
      <c r="E512" s="118"/>
      <c r="F512" s="40"/>
      <c r="G512" s="39"/>
      <c r="H512" s="41" t="s">
        <v>79</v>
      </c>
      <c r="I512" s="48" t="s">
        <v>1474</v>
      </c>
      <c r="J512" s="42" t="str">
        <f>IFERROR(__xludf.DUMMYFUNCTION("GOOGLETRANSLATE(I512,""en"",""pl"")"),"Aluminiowy uchwyt sufitowy do kamer wielosensorowych. Kompatybilny z PNM-9084QZ1/PNM-8082VT, biały.")</f>
        <v>Aluminiowy uchwyt sufitowy do kamer wielosensorowych. Kompatybilny z PNM-9084QZ1/PNM-8082VT, biały.</v>
      </c>
      <c r="K512" s="43" t="s">
        <v>21</v>
      </c>
      <c r="L512" s="44">
        <v>250.0</v>
      </c>
      <c r="M512" s="8"/>
      <c r="N512" s="45" t="s">
        <v>22</v>
      </c>
      <c r="O512" s="97"/>
      <c r="P512" s="36"/>
      <c r="Q512" s="35"/>
      <c r="R512" s="68"/>
      <c r="S512" s="68"/>
      <c r="T512" s="68"/>
      <c r="U512" s="35"/>
      <c r="V512" s="35"/>
      <c r="W512" s="35"/>
      <c r="X512" s="35"/>
      <c r="Y512" s="35"/>
      <c r="Z512" s="35"/>
      <c r="AA512" s="35"/>
      <c r="AB512" s="35"/>
      <c r="AC512" s="60"/>
      <c r="AD512" s="85"/>
      <c r="AE512" s="85"/>
      <c r="AF512" s="85"/>
      <c r="AG512" s="85"/>
      <c r="AH512" s="85"/>
      <c r="AI512" s="85"/>
      <c r="AJ512" s="85"/>
      <c r="AK512" s="85"/>
      <c r="AL512" s="85"/>
      <c r="AM512" s="85"/>
      <c r="AN512" s="85"/>
      <c r="AO512" s="85"/>
      <c r="AP512" s="85"/>
    </row>
    <row r="513" ht="79.5" customHeight="1">
      <c r="A513" s="29"/>
      <c r="B513" s="38" t="s">
        <v>23</v>
      </c>
      <c r="C513" s="39" t="s">
        <v>1475</v>
      </c>
      <c r="D513" s="40" t="s">
        <v>1413</v>
      </c>
      <c r="E513" s="118"/>
      <c r="F513" s="40"/>
      <c r="G513" s="39"/>
      <c r="H513" s="41" t="s">
        <v>79</v>
      </c>
      <c r="I513" s="48" t="s">
        <v>1476</v>
      </c>
      <c r="J513" s="42" t="str">
        <f>IFERROR(__xludf.DUMMYFUNCTION("GOOGLETRANSLATE(I513,""en"",""pl"")"),"Poliwęglanowy uchwyt sufitowy do kamer kopułkowych. Kompatybilny z kamerami PNV-9080R, XNV-6080/6080R/L6080/L6080R/8080R, SCD-6081R, SCV-6081R, SND-7084R/7084/6084R/6084/6083/5084R/5084/5083, SNV-7084R/7084/6084R/6084/5084, kolor kości słoniowej.")</f>
        <v>Poliwęglanowy uchwyt sufitowy do kamer kopułkowych. Kompatybilny z kamerami PNV-9080R, XNV-6080/6080R/L6080/L6080R/8080R, SCD-6081R, SCV-6081R, SND-7084R/7084/6084R/6084/6083/5084R/5084/5083, SNV-7084R/7084/6084R/6084/5084, kolor kości słoniowej.</v>
      </c>
      <c r="K513" s="43" t="s">
        <v>21</v>
      </c>
      <c r="L513" s="44">
        <v>52.0</v>
      </c>
      <c r="M513" s="8"/>
      <c r="N513" s="45" t="s">
        <v>22</v>
      </c>
      <c r="O513" s="97"/>
      <c r="P513" s="36"/>
      <c r="Q513" s="35"/>
      <c r="R513" s="68"/>
      <c r="S513" s="68"/>
      <c r="T513" s="68"/>
      <c r="U513" s="35"/>
      <c r="V513" s="35"/>
      <c r="W513" s="35"/>
      <c r="X513" s="35"/>
      <c r="Y513" s="35"/>
      <c r="Z513" s="35"/>
      <c r="AA513" s="35"/>
      <c r="AB513" s="35"/>
      <c r="AC513" s="60"/>
      <c r="AD513" s="85"/>
      <c r="AE513" s="85"/>
      <c r="AF513" s="85"/>
      <c r="AG513" s="85"/>
      <c r="AH513" s="85"/>
      <c r="AI513" s="85"/>
      <c r="AJ513" s="85"/>
      <c r="AK513" s="85"/>
      <c r="AL513" s="85"/>
      <c r="AM513" s="85"/>
      <c r="AN513" s="85"/>
      <c r="AO513" s="85"/>
      <c r="AP513" s="85"/>
    </row>
    <row r="514" ht="79.5" customHeight="1">
      <c r="A514" s="29"/>
      <c r="B514" s="99" t="s">
        <v>23</v>
      </c>
      <c r="C514" s="39" t="s">
        <v>1477</v>
      </c>
      <c r="D514" s="39" t="s">
        <v>1413</v>
      </c>
      <c r="E514" s="118"/>
      <c r="F514" s="39"/>
      <c r="G514" s="39"/>
      <c r="H514" s="41" t="s">
        <v>1478</v>
      </c>
      <c r="I514" s="125" t="s">
        <v>1479</v>
      </c>
      <c r="J514" s="42" t="str">
        <f>IFERROR(__xludf.DUMMYFUNCTION("GOOGLETRANSLATE(I514,""en"",""pl"")"),"Poliwęglanowy uchwyt sufitowy do montażu podtynkowego kamer kopułkowych zewnętrznych. Kompatybilny z modelami QNV-7080R/6070R, HCV-7070R/7080R/6070R/6080R/6080, SNV-L6083R/L5083R, SCV-5082/5083/5083R/5085, kolor kości słoniowej.")</f>
        <v>Poliwęglanowy uchwyt sufitowy do montażu podtynkowego kamer kopułkowych zewnętrznych. Kompatybilny z modelami QNV-7080R/6070R, HCV-7070R/7080R/6070R/6080R/6080, SNV-L6083R/L5083R, SCV-5082/5083/5083R/5085, kolor kości słoniowej.</v>
      </c>
      <c r="K514" s="43" t="s">
        <v>21</v>
      </c>
      <c r="L514" s="44">
        <v>73.0</v>
      </c>
      <c r="M514" s="130"/>
      <c r="N514" s="45" t="s">
        <v>22</v>
      </c>
      <c r="O514" s="97"/>
      <c r="P514" s="36"/>
      <c r="Q514" s="35"/>
      <c r="R514" s="68"/>
      <c r="S514" s="68"/>
      <c r="T514" s="68"/>
      <c r="U514" s="35"/>
      <c r="V514" s="35"/>
      <c r="W514" s="35"/>
      <c r="X514" s="35"/>
      <c r="Y514" s="35"/>
      <c r="Z514" s="35"/>
      <c r="AA514" s="35"/>
      <c r="AB514" s="35"/>
      <c r="AC514" s="60"/>
      <c r="AD514" s="85"/>
      <c r="AE514" s="85"/>
      <c r="AF514" s="85"/>
      <c r="AG514" s="85"/>
      <c r="AH514" s="85"/>
      <c r="AI514" s="85"/>
      <c r="AJ514" s="85"/>
      <c r="AK514" s="85"/>
      <c r="AL514" s="85"/>
      <c r="AM514" s="85"/>
      <c r="AN514" s="85"/>
      <c r="AO514" s="85"/>
      <c r="AP514" s="85"/>
    </row>
    <row r="515" ht="79.5" customHeight="1">
      <c r="A515" s="29"/>
      <c r="B515" s="38" t="s">
        <v>23</v>
      </c>
      <c r="C515" s="39" t="s">
        <v>1480</v>
      </c>
      <c r="D515" s="40" t="s">
        <v>1413</v>
      </c>
      <c r="E515" s="118"/>
      <c r="F515" s="40"/>
      <c r="G515" s="39"/>
      <c r="H515" s="41" t="s">
        <v>79</v>
      </c>
      <c r="I515" s="48" t="s">
        <v>1481</v>
      </c>
      <c r="J515" s="42" t="str">
        <f>IFERROR(__xludf.DUMMYFUNCTION("GOOGLETRANSLATE(I515,""en"",""pl"")"),"Uchwyt sufitowy Polycanonate do kamer kopułkowych wewnętrznych. Kompatybilny z kamerami PND-9080R, XND-6080/6080R/6080RV/6080V/L6080R/L6080RV/L6080V/8080R/8080RV, kolor kości słoniowej.")</f>
        <v>Uchwyt sufitowy Polycanonate do kamer kopułkowych wewnętrznych. Kompatybilny z kamerami PND-9080R, XND-6080/6080R/6080RV/6080V/L6080R/L6080RV/L6080V/8080R/8080RV, kolor kości słoniowej.</v>
      </c>
      <c r="K515" s="43" t="s">
        <v>21</v>
      </c>
      <c r="L515" s="44">
        <v>73.0</v>
      </c>
      <c r="M515" s="8"/>
      <c r="N515" s="45" t="s">
        <v>22</v>
      </c>
      <c r="O515" s="97"/>
      <c r="P515" s="36"/>
      <c r="Q515" s="35"/>
      <c r="R515" s="68"/>
      <c r="S515" s="68"/>
      <c r="T515" s="68"/>
      <c r="U515" s="35"/>
      <c r="V515" s="35"/>
      <c r="W515" s="35"/>
      <c r="X515" s="35"/>
      <c r="Y515" s="35"/>
      <c r="Z515" s="35"/>
      <c r="AA515" s="35"/>
      <c r="AB515" s="35"/>
      <c r="AC515" s="60"/>
      <c r="AD515" s="85"/>
      <c r="AE515" s="85"/>
      <c r="AF515" s="85"/>
      <c r="AG515" s="85"/>
      <c r="AH515" s="85"/>
      <c r="AI515" s="85"/>
      <c r="AJ515" s="85"/>
      <c r="AK515" s="85"/>
      <c r="AL515" s="85"/>
      <c r="AM515" s="85"/>
      <c r="AN515" s="85"/>
      <c r="AO515" s="85"/>
      <c r="AP515" s="85"/>
    </row>
    <row r="516" ht="79.5" customHeight="1">
      <c r="A516" s="29"/>
      <c r="B516" s="38" t="s">
        <v>23</v>
      </c>
      <c r="C516" s="39" t="s">
        <v>1482</v>
      </c>
      <c r="D516" s="40" t="s">
        <v>1483</v>
      </c>
      <c r="E516" s="118"/>
      <c r="F516" s="40"/>
      <c r="G516" s="39"/>
      <c r="H516" s="41" t="s">
        <v>79</v>
      </c>
      <c r="I516" s="125" t="s">
        <v>1484</v>
      </c>
      <c r="J516" s="42" t="str">
        <f>IFERROR(__xludf.DUMMYFUNCTION("GOOGLETRANSLATE(I516,""en"",""pl"")"),"Obudowa zewnętrzna do kamer PTZ, IP66, IK10, wbudowana grzałka -58°F. Kompatybilna z XNP-6320, QNP-6230, HCP-6320/6320A, SCP-3370/2370/2330/2270/2250/3371/2371/2271, SNP-6200/5200/5300/3371/3302, kolor kości słoniowej.")</f>
        <v>Obudowa zewnętrzna do kamer PTZ, IP66, IK10, wbudowana grzałka -58°F. Kompatybilna z XNP-6320, QNP-6230, HCP-6320/6320A, SCP-3370/2370/2330/2270/2250/3371/2371/2271, SNP-6200/5200/5300/3371/3302, kolor kości słoniowej.</v>
      </c>
      <c r="K516" s="43" t="s">
        <v>21</v>
      </c>
      <c r="L516" s="44">
        <v>249.0</v>
      </c>
      <c r="M516" s="8"/>
      <c r="N516" s="45" t="s">
        <v>22</v>
      </c>
      <c r="O516" s="97"/>
      <c r="P516" s="36"/>
      <c r="Q516" s="35"/>
      <c r="R516" s="68"/>
      <c r="S516" s="68"/>
      <c r="T516" s="68"/>
      <c r="U516" s="35"/>
      <c r="V516" s="35"/>
      <c r="W516" s="35"/>
      <c r="X516" s="35"/>
      <c r="Y516" s="35"/>
      <c r="Z516" s="35"/>
      <c r="AA516" s="35"/>
      <c r="AB516" s="35"/>
      <c r="AC516" s="60"/>
      <c r="AD516" s="85"/>
      <c r="AE516" s="85"/>
      <c r="AF516" s="85"/>
      <c r="AG516" s="85"/>
      <c r="AH516" s="85"/>
      <c r="AI516" s="85"/>
      <c r="AJ516" s="85"/>
      <c r="AK516" s="85"/>
      <c r="AL516" s="85"/>
      <c r="AM516" s="85"/>
      <c r="AN516" s="85"/>
      <c r="AO516" s="85"/>
      <c r="AP516" s="85"/>
    </row>
    <row r="517" ht="79.5" customHeight="1">
      <c r="A517" s="29"/>
      <c r="B517" s="38" t="s">
        <v>23</v>
      </c>
      <c r="C517" s="39" t="s">
        <v>1485</v>
      </c>
      <c r="D517" s="40" t="s">
        <v>1486</v>
      </c>
      <c r="E517" s="118"/>
      <c r="F517" s="40"/>
      <c r="G517" s="39"/>
      <c r="H517" s="41" t="s">
        <v>79</v>
      </c>
      <c r="I517" s="48" t="s">
        <v>1487</v>
      </c>
      <c r="J517" s="42" t="str">
        <f>IFERROR(__xludf.DUMMYFUNCTION("GOOGLETRANSLATE(I517,""en"",""pl"")"),"Uchwyt sufitowy Polycanonate do kamer typu „rybie oko”. Kompatybilny z modelami XNF-8010R/RV/RVM, PNF-9010R/RV/RVM, kolor kości słoniowej.")</f>
        <v>Uchwyt sufitowy Polycanonate do kamer typu „rybie oko”. Kompatybilny z modelami XNF-8010R/RV/RVM, PNF-9010R/RV/RVM, kolor kości słoniowej.</v>
      </c>
      <c r="K517" s="43" t="s">
        <v>21</v>
      </c>
      <c r="L517" s="44">
        <v>73.0</v>
      </c>
      <c r="M517" s="8"/>
      <c r="N517" s="45" t="s">
        <v>22</v>
      </c>
      <c r="O517" s="97"/>
      <c r="P517" s="36"/>
      <c r="Q517" s="35"/>
      <c r="R517" s="68"/>
      <c r="S517" s="68"/>
      <c r="T517" s="68"/>
      <c r="U517" s="35"/>
      <c r="V517" s="35"/>
      <c r="W517" s="35"/>
      <c r="X517" s="35"/>
      <c r="Y517" s="35"/>
      <c r="Z517" s="35"/>
      <c r="AA517" s="35"/>
      <c r="AB517" s="35"/>
      <c r="AC517" s="60"/>
      <c r="AD517" s="85"/>
      <c r="AE517" s="85"/>
      <c r="AF517" s="85"/>
      <c r="AG517" s="85"/>
      <c r="AH517" s="85"/>
      <c r="AI517" s="85"/>
      <c r="AJ517" s="85"/>
      <c r="AK517" s="85"/>
      <c r="AL517" s="85"/>
      <c r="AM517" s="85"/>
      <c r="AN517" s="85"/>
      <c r="AO517" s="85"/>
      <c r="AP517" s="85"/>
    </row>
    <row r="518" ht="79.5" customHeight="1">
      <c r="A518" s="29"/>
      <c r="B518" s="38" t="s">
        <v>23</v>
      </c>
      <c r="C518" s="39" t="s">
        <v>1488</v>
      </c>
      <c r="D518" s="40" t="s">
        <v>1489</v>
      </c>
      <c r="E518" s="118"/>
      <c r="F518" s="40"/>
      <c r="G518" s="39"/>
      <c r="H518" s="41" t="s">
        <v>79</v>
      </c>
      <c r="I518" s="48" t="s">
        <v>1490</v>
      </c>
      <c r="J518" s="42" t="str">
        <f>IFERROR(__xludf.DUMMYFUNCTION("GOOGLETRANSLATE(I518,""en"",""pl"")"),"Pokrowiec w kolorze czarnym, kompatybilny z TNV-C8011RW")</f>
        <v>Pokrowiec w kolorze czarnym, kompatybilny z TNV-C8011RW</v>
      </c>
      <c r="K518" s="43" t="s">
        <v>21</v>
      </c>
      <c r="L518" s="44">
        <v>40.0</v>
      </c>
      <c r="M518" s="8"/>
      <c r="N518" s="45" t="s">
        <v>22</v>
      </c>
      <c r="O518" s="97"/>
      <c r="P518" s="36"/>
      <c r="Q518" s="35"/>
      <c r="R518" s="68"/>
      <c r="S518" s="68"/>
      <c r="T518" s="68"/>
      <c r="U518" s="35"/>
      <c r="V518" s="35"/>
      <c r="W518" s="35"/>
      <c r="X518" s="35"/>
      <c r="Y518" s="35"/>
      <c r="Z518" s="35"/>
      <c r="AA518" s="35"/>
      <c r="AB518" s="35"/>
      <c r="AC518" s="60"/>
      <c r="AD518" s="85"/>
      <c r="AE518" s="85"/>
      <c r="AF518" s="85"/>
      <c r="AG518" s="85"/>
      <c r="AH518" s="85"/>
      <c r="AI518" s="85"/>
      <c r="AJ518" s="85"/>
      <c r="AK518" s="85"/>
      <c r="AL518" s="85"/>
      <c r="AM518" s="85"/>
      <c r="AN518" s="85"/>
      <c r="AO518" s="85"/>
      <c r="AP518" s="85"/>
    </row>
    <row r="519" ht="79.5" customHeight="1">
      <c r="A519" s="29"/>
      <c r="B519" s="38" t="s">
        <v>23</v>
      </c>
      <c r="C519" s="39" t="s">
        <v>1491</v>
      </c>
      <c r="D519" s="40" t="s">
        <v>1492</v>
      </c>
      <c r="E519" s="118"/>
      <c r="F519" s="40"/>
      <c r="G519" s="39"/>
      <c r="H519" s="41" t="s">
        <v>79</v>
      </c>
      <c r="I519" s="48" t="s">
        <v>1493</v>
      </c>
      <c r="J519" s="42" t="str">
        <f>IFERROR(__xludf.DUMMYFUNCTION("GOOGLETRANSLATE(I519,""en"",""pl"")"),"Pokrowiec w kolorze srebrnym, wykonany z poliwęglanu, kompatybilny z TNV-8011C")</f>
        <v>Pokrowiec w kolorze srebrnym, wykonany z poliwęglanu, kompatybilny z TNV-8011C</v>
      </c>
      <c r="K519" s="43" t="s">
        <v>21</v>
      </c>
      <c r="L519" s="44">
        <v>35.0</v>
      </c>
      <c r="M519" s="8"/>
      <c r="N519" s="45" t="s">
        <v>22</v>
      </c>
      <c r="O519" s="97"/>
      <c r="P519" s="36"/>
      <c r="Q519" s="35"/>
      <c r="R519" s="68"/>
      <c r="S519" s="68"/>
      <c r="T519" s="68"/>
      <c r="U519" s="35"/>
      <c r="V519" s="35"/>
      <c r="W519" s="35"/>
      <c r="X519" s="35"/>
      <c r="Y519" s="35"/>
      <c r="Z519" s="35"/>
      <c r="AA519" s="35"/>
      <c r="AB519" s="35"/>
      <c r="AC519" s="60"/>
      <c r="AD519" s="85"/>
      <c r="AE519" s="85"/>
      <c r="AF519" s="85"/>
      <c r="AG519" s="85"/>
      <c r="AH519" s="85"/>
      <c r="AI519" s="85"/>
      <c r="AJ519" s="85"/>
      <c r="AK519" s="85"/>
      <c r="AL519" s="85"/>
      <c r="AM519" s="85"/>
      <c r="AN519" s="85"/>
      <c r="AO519" s="85"/>
      <c r="AP519" s="85"/>
    </row>
    <row r="520" ht="79.5" customHeight="1">
      <c r="A520" s="29"/>
      <c r="B520" s="38" t="s">
        <v>23</v>
      </c>
      <c r="C520" s="39" t="s">
        <v>1494</v>
      </c>
      <c r="D520" s="40" t="s">
        <v>1495</v>
      </c>
      <c r="E520" s="118"/>
      <c r="F520" s="40"/>
      <c r="G520" s="39"/>
      <c r="H520" s="41" t="s">
        <v>79</v>
      </c>
      <c r="I520" s="48" t="s">
        <v>1496</v>
      </c>
      <c r="J520" s="42" t="str">
        <f>IFERROR(__xludf.DUMMYFUNCTION("GOOGLETRANSLATE(I520,""en"",""pl"")"),"Pokrowiec na skórę w kolorze białym, wykonany z poliwęglanu, kompatybilny z TNV-8011C")</f>
        <v>Pokrowiec na skórę w kolorze białym, wykonany z poliwęglanu, kompatybilny z TNV-8011C</v>
      </c>
      <c r="K520" s="43" t="s">
        <v>21</v>
      </c>
      <c r="L520" s="44">
        <v>35.0</v>
      </c>
      <c r="M520" s="8"/>
      <c r="N520" s="45" t="s">
        <v>22</v>
      </c>
      <c r="O520" s="97"/>
      <c r="P520" s="36"/>
      <c r="Q520" s="35"/>
      <c r="R520" s="68"/>
      <c r="S520" s="68"/>
      <c r="T520" s="68"/>
      <c r="U520" s="35"/>
      <c r="V520" s="35"/>
      <c r="W520" s="35"/>
      <c r="X520" s="35"/>
      <c r="Y520" s="35"/>
      <c r="Z520" s="35"/>
      <c r="AA520" s="35"/>
      <c r="AB520" s="35"/>
      <c r="AC520" s="60"/>
      <c r="AD520" s="85"/>
      <c r="AE520" s="85"/>
      <c r="AF520" s="85"/>
      <c r="AG520" s="85"/>
      <c r="AH520" s="85"/>
      <c r="AI520" s="85"/>
      <c r="AJ520" s="85"/>
      <c r="AK520" s="85"/>
      <c r="AL520" s="85"/>
      <c r="AM520" s="85"/>
      <c r="AN520" s="85"/>
      <c r="AO520" s="85"/>
      <c r="AP520" s="85"/>
    </row>
    <row r="521" ht="79.5" customHeight="1">
      <c r="A521" s="29"/>
      <c r="B521" s="38" t="s">
        <v>23</v>
      </c>
      <c r="C521" s="39" t="s">
        <v>1497</v>
      </c>
      <c r="D521" s="40" t="s">
        <v>1489</v>
      </c>
      <c r="E521" s="118"/>
      <c r="F521" s="40"/>
      <c r="G521" s="39"/>
      <c r="H521" s="41" t="s">
        <v>79</v>
      </c>
      <c r="I521" s="48" t="s">
        <v>1498</v>
      </c>
      <c r="J521" s="42" t="str">
        <f>IFERROR(__xludf.DUMMYFUNCTION("GOOGLETRANSLATE(I521,""en"",""pl"")"),"Pokrowiec skórzany w kolorze czarnym, wykonany z poliwęglanu, kompatybilny z TNV-8011C")</f>
        <v>Pokrowiec skórzany w kolorze czarnym, wykonany z poliwęglanu, kompatybilny z TNV-8011C</v>
      </c>
      <c r="K521" s="43" t="s">
        <v>21</v>
      </c>
      <c r="L521" s="44">
        <v>35.0</v>
      </c>
      <c r="M521" s="8"/>
      <c r="N521" s="45" t="s">
        <v>22</v>
      </c>
      <c r="O521" s="97"/>
      <c r="P521" s="36"/>
      <c r="Q521" s="35"/>
      <c r="R521" s="68"/>
      <c r="S521" s="68"/>
      <c r="T521" s="68"/>
      <c r="U521" s="35"/>
      <c r="V521" s="35"/>
      <c r="W521" s="35"/>
      <c r="X521" s="35"/>
      <c r="Y521" s="35"/>
      <c r="Z521" s="35"/>
      <c r="AA521" s="35"/>
      <c r="AB521" s="35"/>
      <c r="AC521" s="60"/>
      <c r="AD521" s="85"/>
      <c r="AE521" s="85"/>
      <c r="AF521" s="85"/>
      <c r="AG521" s="85"/>
      <c r="AH521" s="85"/>
      <c r="AI521" s="85"/>
      <c r="AJ521" s="85"/>
      <c r="AK521" s="85"/>
      <c r="AL521" s="85"/>
      <c r="AM521" s="85"/>
      <c r="AN521" s="85"/>
      <c r="AO521" s="85"/>
      <c r="AP521" s="85"/>
    </row>
    <row r="522" ht="79.5" customHeight="1">
      <c r="A522" s="131"/>
      <c r="B522" s="38" t="s">
        <v>23</v>
      </c>
      <c r="C522" s="39" t="s">
        <v>1499</v>
      </c>
      <c r="D522" s="40" t="s">
        <v>1500</v>
      </c>
      <c r="E522" s="118"/>
      <c r="F522" s="39"/>
      <c r="G522" s="41"/>
      <c r="H522" s="41" t="s">
        <v>79</v>
      </c>
      <c r="I522" s="48" t="s">
        <v>1501</v>
      </c>
      <c r="J522" s="42" t="str">
        <f>IFERROR(__xludf.DUMMYFUNCTION("GOOGLETRANSLATE(I522,""en"",""pl"")"),"Pokrowiec skórzany w kolorze białym do interkomu TID-600R")</f>
        <v>Pokrowiec skórzany w kolorze białym do interkomu TID-600R</v>
      </c>
      <c r="K522" s="43" t="s">
        <v>21</v>
      </c>
      <c r="L522" s="44">
        <v>21.0</v>
      </c>
      <c r="M522" s="8"/>
      <c r="N522" s="45" t="s">
        <v>22</v>
      </c>
      <c r="O522" s="97"/>
      <c r="P522" s="36"/>
      <c r="Q522" s="35"/>
      <c r="R522" s="68"/>
      <c r="S522" s="68"/>
      <c r="T522" s="68"/>
      <c r="U522" s="35"/>
      <c r="V522" s="35"/>
      <c r="W522" s="35"/>
      <c r="X522" s="35"/>
      <c r="Y522" s="35"/>
      <c r="Z522" s="35"/>
      <c r="AA522" s="35"/>
      <c r="AB522" s="35"/>
      <c r="AC522" s="60"/>
      <c r="AD522" s="85"/>
      <c r="AE522" s="85"/>
      <c r="AF522" s="85"/>
      <c r="AG522" s="85"/>
      <c r="AH522" s="85"/>
      <c r="AI522" s="85"/>
      <c r="AJ522" s="85"/>
      <c r="AK522" s="85"/>
      <c r="AL522" s="85"/>
      <c r="AM522" s="85"/>
      <c r="AN522" s="85"/>
      <c r="AO522" s="85"/>
      <c r="AP522" s="85"/>
    </row>
    <row r="523" ht="79.5" customHeight="1">
      <c r="A523" s="131"/>
      <c r="B523" s="38" t="s">
        <v>23</v>
      </c>
      <c r="C523" s="39" t="s">
        <v>1502</v>
      </c>
      <c r="D523" s="40" t="s">
        <v>1503</v>
      </c>
      <c r="E523" s="118"/>
      <c r="F523" s="39"/>
      <c r="G523" s="41"/>
      <c r="H523" s="41" t="s">
        <v>79</v>
      </c>
      <c r="I523" s="48" t="s">
        <v>1504</v>
      </c>
      <c r="J523" s="42" t="str">
        <f>IFERROR(__xludf.DUMMYFUNCTION("GOOGLETRANSLATE(I523,""en"",""pl"")"),"Skrzynka tylna do interkomu TID-600R")</f>
        <v>Skrzynka tylna do interkomu TID-600R</v>
      </c>
      <c r="K523" s="43" t="s">
        <v>21</v>
      </c>
      <c r="L523" s="44">
        <v>49.0</v>
      </c>
      <c r="M523" s="8"/>
      <c r="N523" s="45" t="s">
        <v>22</v>
      </c>
      <c r="O523" s="97"/>
      <c r="P523" s="36"/>
      <c r="Q523" s="35"/>
      <c r="R523" s="68"/>
      <c r="S523" s="68"/>
      <c r="T523" s="68"/>
      <c r="U523" s="35"/>
      <c r="V523" s="35"/>
      <c r="W523" s="35"/>
      <c r="X523" s="35"/>
      <c r="Y523" s="35"/>
      <c r="Z523" s="35"/>
      <c r="AA523" s="35"/>
      <c r="AB523" s="35"/>
      <c r="AC523" s="60"/>
      <c r="AD523" s="85"/>
      <c r="AE523" s="85"/>
      <c r="AF523" s="85"/>
      <c r="AG523" s="85"/>
      <c r="AH523" s="85"/>
      <c r="AI523" s="85"/>
      <c r="AJ523" s="85"/>
      <c r="AK523" s="85"/>
      <c r="AL523" s="85"/>
      <c r="AM523" s="85"/>
      <c r="AN523" s="85"/>
      <c r="AO523" s="85"/>
      <c r="AP523" s="85"/>
    </row>
    <row r="524" ht="79.5" customHeight="1">
      <c r="A524" s="131"/>
      <c r="B524" s="38" t="s">
        <v>23</v>
      </c>
      <c r="C524" s="39" t="s">
        <v>1505</v>
      </c>
      <c r="D524" s="40" t="s">
        <v>1506</v>
      </c>
      <c r="E524" s="118"/>
      <c r="F524" s="39"/>
      <c r="G524" s="41"/>
      <c r="H524" s="41" t="s">
        <v>79</v>
      </c>
      <c r="I524" s="48" t="s">
        <v>1507</v>
      </c>
      <c r="J524" s="42" t="str">
        <f>IFERROR(__xludf.DUMMYFUNCTION("GOOGLETRANSLATE(I524,""en"",""pl"")"),"Uchwyt uchylny w kolorze czarnym do interkomu TID-600R")</f>
        <v>Uchwyt uchylny w kolorze czarnym do interkomu TID-600R</v>
      </c>
      <c r="K524" s="43" t="s">
        <v>21</v>
      </c>
      <c r="L524" s="44">
        <v>29.0</v>
      </c>
      <c r="M524" s="8"/>
      <c r="N524" s="45" t="s">
        <v>22</v>
      </c>
      <c r="O524" s="97"/>
      <c r="P524" s="36"/>
      <c r="Q524" s="35"/>
      <c r="R524" s="68"/>
      <c r="S524" s="68"/>
      <c r="T524" s="68"/>
      <c r="U524" s="35"/>
      <c r="V524" s="35"/>
      <c r="W524" s="35"/>
      <c r="X524" s="35"/>
      <c r="Y524" s="35"/>
      <c r="Z524" s="35"/>
      <c r="AA524" s="35"/>
      <c r="AB524" s="35"/>
      <c r="AC524" s="60"/>
      <c r="AD524" s="85"/>
      <c r="AE524" s="85"/>
      <c r="AF524" s="85"/>
      <c r="AG524" s="85"/>
      <c r="AH524" s="85"/>
      <c r="AI524" s="85"/>
      <c r="AJ524" s="85"/>
      <c r="AK524" s="85"/>
      <c r="AL524" s="85"/>
      <c r="AM524" s="85"/>
      <c r="AN524" s="85"/>
      <c r="AO524" s="85"/>
      <c r="AP524" s="85"/>
    </row>
    <row r="525" ht="79.5" customHeight="1">
      <c r="A525" s="131"/>
      <c r="B525" s="38" t="s">
        <v>23</v>
      </c>
      <c r="C525" s="39" t="s">
        <v>1508</v>
      </c>
      <c r="D525" s="40" t="s">
        <v>1509</v>
      </c>
      <c r="E525" s="118"/>
      <c r="F525" s="39"/>
      <c r="G525" s="41"/>
      <c r="H525" s="41" t="s">
        <v>79</v>
      </c>
      <c r="I525" s="42" t="s">
        <v>1510</v>
      </c>
      <c r="J525" s="42" t="str">
        <f>IFERROR(__xludf.DUMMYFUNCTION("GOOGLETRANSLATE(I525,""en"",""pl"")"),"Uchwyt podtynkowy z dwiema osłonami (ciemnoszarymi i białymi) do domofonu TID-600R")</f>
        <v>Uchwyt podtynkowy z dwiema osłonami (ciemnoszarymi i białymi) do domofonu TID-600R</v>
      </c>
      <c r="K525" s="43" t="s">
        <v>21</v>
      </c>
      <c r="L525" s="44">
        <v>100.0</v>
      </c>
      <c r="M525" s="8"/>
      <c r="N525" s="45" t="s">
        <v>22</v>
      </c>
      <c r="O525" s="97"/>
      <c r="P525" s="35"/>
      <c r="Q525" s="35"/>
      <c r="R525" s="68"/>
      <c r="S525" s="68"/>
      <c r="T525" s="68"/>
      <c r="U525" s="35"/>
      <c r="V525" s="35"/>
      <c r="W525" s="35"/>
      <c r="X525" s="35"/>
      <c r="Y525" s="35"/>
      <c r="Z525" s="35"/>
      <c r="AA525" s="35"/>
      <c r="AB525" s="35"/>
      <c r="AC525" s="101"/>
      <c r="AD525" s="98"/>
      <c r="AE525" s="98"/>
      <c r="AF525" s="98"/>
      <c r="AG525" s="98"/>
      <c r="AH525" s="98"/>
      <c r="AI525" s="98"/>
      <c r="AJ525" s="98"/>
      <c r="AK525" s="98"/>
      <c r="AL525" s="98"/>
      <c r="AM525" s="98"/>
      <c r="AN525" s="98"/>
      <c r="AO525" s="98"/>
      <c r="AP525" s="98"/>
    </row>
    <row r="526" ht="79.5" customHeight="1">
      <c r="A526" s="29"/>
      <c r="B526" s="38" t="s">
        <v>23</v>
      </c>
      <c r="C526" s="39" t="s">
        <v>1511</v>
      </c>
      <c r="D526" s="40" t="s">
        <v>1512</v>
      </c>
      <c r="E526" s="118"/>
      <c r="F526" s="40"/>
      <c r="G526" s="39"/>
      <c r="H526" s="41" t="s">
        <v>79</v>
      </c>
      <c r="I526" s="48" t="s">
        <v>1513</v>
      </c>
      <c r="J526" s="42" t="str">
        <f>IFERROR(__xludf.DUMMYFUNCTION("GOOGLETRANSLATE(I526,""en"",""pl"")"),"Osłona na kamerę kopułkową Vandal Dome do użytku wewnątrz pomieszczeń. Kompatybilna z modelami XND-8081VZ/8081RV/8081REV/6081VZ/6081V/6081RV/6081REV, PND-A9081RV, czarna, opakowanie 3 szt.")</f>
        <v>Osłona na kamerę kopułkową Vandal Dome do użytku wewnątrz pomieszczeń. Kompatybilna z modelami XND-8081VZ/8081RV/8081REV/6081VZ/6081V/6081RV/6081REV, PND-A9081RV, czarna, opakowanie 3 szt.</v>
      </c>
      <c r="K526" s="43" t="s">
        <v>21</v>
      </c>
      <c r="L526" s="44">
        <v>46.0</v>
      </c>
      <c r="M526" s="8"/>
      <c r="N526" s="45" t="s">
        <v>22</v>
      </c>
      <c r="O526" s="97"/>
      <c r="P526" s="36"/>
      <c r="Q526" s="35"/>
      <c r="R526" s="68"/>
      <c r="S526" s="68"/>
      <c r="T526" s="68"/>
      <c r="U526" s="35"/>
      <c r="V526" s="35"/>
      <c r="W526" s="35"/>
      <c r="X526" s="35"/>
      <c r="Y526" s="35"/>
      <c r="Z526" s="35"/>
      <c r="AA526" s="35"/>
      <c r="AB526" s="35"/>
      <c r="AC526" s="60"/>
      <c r="AD526" s="85"/>
      <c r="AE526" s="85"/>
      <c r="AF526" s="85"/>
      <c r="AG526" s="85"/>
      <c r="AH526" s="85"/>
      <c r="AI526" s="85"/>
      <c r="AJ526" s="85"/>
      <c r="AK526" s="85"/>
      <c r="AL526" s="85"/>
      <c r="AM526" s="85"/>
      <c r="AN526" s="85"/>
      <c r="AO526" s="85"/>
      <c r="AP526" s="85"/>
    </row>
    <row r="527" ht="79.5" customHeight="1">
      <c r="A527" s="29"/>
      <c r="B527" s="38" t="s">
        <v>23</v>
      </c>
      <c r="C527" s="39" t="s">
        <v>1514</v>
      </c>
      <c r="D527" s="40" t="s">
        <v>1489</v>
      </c>
      <c r="E527" s="118"/>
      <c r="F527" s="40"/>
      <c r="G527" s="39"/>
      <c r="H527" s="41" t="s">
        <v>79</v>
      </c>
      <c r="I527" s="48" t="s">
        <v>1515</v>
      </c>
      <c r="J527" s="42" t="str">
        <f>IFERROR(__xludf.DUMMYFUNCTION("GOOGLETRANSLATE(I527,""en"",""pl"")"),"Pokrowiec na skórę w kolorze czarnym, wykonany z poliwęglanu, kompatybilny z XNF-9013RV, XNF-9010RV TBD, XNF-8010RV TBD Opakowanie 6 sztuk")</f>
        <v>Pokrowiec na skórę w kolorze czarnym, wykonany z poliwęglanu, kompatybilny z XNF-9013RV, XNF-9010RV TBD, XNF-8010RV TBD Opakowanie 6 sztuk</v>
      </c>
      <c r="K527" s="43" t="s">
        <v>21</v>
      </c>
      <c r="L527" s="44">
        <v>50.0</v>
      </c>
      <c r="M527" s="8"/>
      <c r="N527" s="45" t="s">
        <v>22</v>
      </c>
      <c r="O527" s="97"/>
      <c r="P527" s="35"/>
      <c r="Q527" s="35"/>
      <c r="R527" s="68"/>
      <c r="S527" s="68"/>
      <c r="T527" s="68"/>
      <c r="U527" s="35"/>
      <c r="V527" s="35"/>
      <c r="W527" s="35"/>
      <c r="X527" s="35"/>
      <c r="Y527" s="35"/>
      <c r="Z527" s="35"/>
      <c r="AA527" s="35"/>
      <c r="AB527" s="35"/>
      <c r="AC527" s="101"/>
      <c r="AD527" s="98"/>
      <c r="AE527" s="98"/>
      <c r="AF527" s="98"/>
      <c r="AG527" s="98"/>
      <c r="AH527" s="98"/>
      <c r="AI527" s="98"/>
      <c r="AJ527" s="98"/>
      <c r="AK527" s="98"/>
      <c r="AL527" s="98"/>
      <c r="AM527" s="98"/>
      <c r="AN527" s="98"/>
      <c r="AO527" s="98"/>
      <c r="AP527" s="98"/>
    </row>
    <row r="528" ht="79.5" customHeight="1">
      <c r="A528" s="29"/>
      <c r="B528" s="38" t="s">
        <v>23</v>
      </c>
      <c r="C528" s="39" t="s">
        <v>1516</v>
      </c>
      <c r="D528" s="40" t="s">
        <v>1512</v>
      </c>
      <c r="E528" s="118"/>
      <c r="F528" s="40"/>
      <c r="G528" s="39"/>
      <c r="H528" s="41" t="s">
        <v>79</v>
      </c>
      <c r="I528" s="48" t="s">
        <v>1517</v>
      </c>
      <c r="J528" s="42" t="str">
        <f>IFERROR(__xludf.DUMMYFUNCTION("GOOGLETRANSLATE(I528,""en"",""pl"")"),"kompatybilny z XNF-9013RV, XNF-9010RV TBD, XNF-8010RV TBD Opakowanie 3 szt.")</f>
        <v>kompatybilny z XNF-9013RV, XNF-9010RV TBD, XNF-8010RV TBD Opakowanie 3 szt.</v>
      </c>
      <c r="K528" s="43" t="s">
        <v>21</v>
      </c>
      <c r="L528" s="44">
        <v>46.0</v>
      </c>
      <c r="M528" s="8"/>
      <c r="N528" s="45" t="s">
        <v>22</v>
      </c>
      <c r="O528" s="97"/>
      <c r="P528" s="36"/>
      <c r="Q528" s="35"/>
      <c r="R528" s="68"/>
      <c r="S528" s="68"/>
      <c r="T528" s="68"/>
      <c r="U528" s="35"/>
      <c r="V528" s="35"/>
      <c r="W528" s="35"/>
      <c r="X528" s="35"/>
      <c r="Y528" s="35"/>
      <c r="Z528" s="35"/>
      <c r="AA528" s="35"/>
      <c r="AB528" s="35"/>
      <c r="AC528" s="60"/>
      <c r="AD528" s="85"/>
      <c r="AE528" s="85"/>
      <c r="AF528" s="85"/>
      <c r="AG528" s="85"/>
      <c r="AH528" s="85"/>
      <c r="AI528" s="85"/>
      <c r="AJ528" s="85"/>
      <c r="AK528" s="85"/>
      <c r="AL528" s="85"/>
      <c r="AM528" s="85"/>
      <c r="AN528" s="85"/>
      <c r="AO528" s="85"/>
      <c r="AP528" s="85"/>
    </row>
    <row r="529" ht="79.5" customHeight="1">
      <c r="A529" s="29"/>
      <c r="B529" s="38" t="s">
        <v>23</v>
      </c>
      <c r="C529" s="39" t="s">
        <v>1518</v>
      </c>
      <c r="D529" s="40" t="s">
        <v>1512</v>
      </c>
      <c r="E529" s="118"/>
      <c r="F529" s="40"/>
      <c r="G529" s="39"/>
      <c r="H529" s="41" t="s">
        <v>79</v>
      </c>
      <c r="I529" s="48" t="s">
        <v>1519</v>
      </c>
      <c r="J529" s="42" t="str">
        <f>IFERROR(__xludf.DUMMYFUNCTION("GOOGLETRANSLATE(I529,""en"",""pl"")"),"Czarna osłona na PNM-C16013RVQ, opakowanie 3 szt.")</f>
        <v>Czarna osłona na PNM-C16013RVQ, opakowanie 3 szt.</v>
      </c>
      <c r="K529" s="43" t="s">
        <v>21</v>
      </c>
      <c r="L529" s="44">
        <v>50.0</v>
      </c>
      <c r="M529" s="8"/>
      <c r="N529" s="45" t="s">
        <v>22</v>
      </c>
      <c r="O529" s="97"/>
      <c r="P529" s="36"/>
      <c r="Q529" s="35"/>
      <c r="R529" s="68"/>
      <c r="S529" s="68"/>
      <c r="T529" s="68"/>
      <c r="U529" s="35"/>
      <c r="V529" s="35"/>
      <c r="W529" s="35"/>
      <c r="X529" s="35"/>
      <c r="Y529" s="35"/>
      <c r="Z529" s="35"/>
      <c r="AA529" s="35"/>
      <c r="AB529" s="35"/>
      <c r="AC529" s="60"/>
      <c r="AD529" s="85"/>
      <c r="AE529" s="85"/>
      <c r="AF529" s="85"/>
      <c r="AG529" s="85"/>
      <c r="AH529" s="85"/>
      <c r="AI529" s="85"/>
      <c r="AJ529" s="85"/>
      <c r="AK529" s="85"/>
      <c r="AL529" s="85"/>
      <c r="AM529" s="85"/>
      <c r="AN529" s="85"/>
      <c r="AO529" s="85"/>
      <c r="AP529" s="85"/>
    </row>
    <row r="530" ht="79.5" customHeight="1">
      <c r="A530" s="29"/>
      <c r="B530" s="38" t="s">
        <v>23</v>
      </c>
      <c r="C530" s="39" t="s">
        <v>1520</v>
      </c>
      <c r="D530" s="40" t="s">
        <v>1521</v>
      </c>
      <c r="E530" s="118"/>
      <c r="F530" s="40"/>
      <c r="G530" s="39"/>
      <c r="H530" s="41" t="s">
        <v>79</v>
      </c>
      <c r="I530" s="48" t="s">
        <v>1522</v>
      </c>
      <c r="J530" s="42" t="str">
        <f>IFERROR(__xludf.DUMMYFUNCTION("GOOGLETRANSLATE(I530,""en"",""pl"")"),"Ta skórka została opracowana wyłącznie dla wersji XNP, niebędącej serią RW, takiej jak XNP-6400, XNP-6400R, XNP-C6403, XNP-C6403R, XNP-8250, XNP-8250R, XNP-C8253, XNP-C8253R, XNP-9250, XNP-9250R, XNP-C9253, XNP-C9253R oraz QNP-6320R i QNP-6250R. Skóra jes"&amp;"t gotowa do malowania. Wyprodukowano w Wielkiej Brytanii.")</f>
        <v>Ta skórka została opracowana wyłącznie dla wersji XNP, niebędącej serią RW, takiej jak XNP-6400, XNP-6400R, XNP-C6403, XNP-C6403R, XNP-8250, XNP-8250R, XNP-C8253, XNP-C8253R, XNP-9250, XNP-9250R, XNP-C9253, XNP-C9253R oraz QNP-6320R i QNP-6250R. Skóra jest gotowa do malowania. Wyprodukowano w Wielkiej Brytanii.</v>
      </c>
      <c r="K530" s="108"/>
      <c r="L530" s="44">
        <v>103.0</v>
      </c>
      <c r="M530" s="8"/>
      <c r="N530" s="45" t="s">
        <v>22</v>
      </c>
      <c r="O530" s="97"/>
      <c r="P530" s="36"/>
      <c r="Q530" s="35"/>
      <c r="R530" s="68"/>
      <c r="S530" s="68"/>
      <c r="T530" s="68"/>
      <c r="U530" s="35"/>
      <c r="V530" s="35"/>
      <c r="W530" s="35"/>
      <c r="X530" s="35"/>
      <c r="Y530" s="35"/>
      <c r="Z530" s="35"/>
      <c r="AA530" s="35"/>
      <c r="AB530" s="35"/>
      <c r="AC530" s="60"/>
      <c r="AD530" s="85"/>
      <c r="AE530" s="85"/>
      <c r="AF530" s="85"/>
      <c r="AG530" s="85"/>
      <c r="AH530" s="85"/>
      <c r="AI530" s="85"/>
      <c r="AJ530" s="85"/>
      <c r="AK530" s="85"/>
      <c r="AL530" s="85"/>
      <c r="AM530" s="85"/>
      <c r="AN530" s="85"/>
      <c r="AO530" s="85"/>
      <c r="AP530" s="85"/>
    </row>
    <row r="531" ht="79.5" customHeight="1">
      <c r="A531" s="29"/>
      <c r="B531" s="38" t="s">
        <v>23</v>
      </c>
      <c r="C531" s="39" t="s">
        <v>1523</v>
      </c>
      <c r="D531" s="40" t="s">
        <v>1524</v>
      </c>
      <c r="E531" s="118"/>
      <c r="F531" s="40"/>
      <c r="G531" s="39"/>
      <c r="H531" s="41" t="s">
        <v>79</v>
      </c>
      <c r="I531" s="48" t="s">
        <v>1525</v>
      </c>
      <c r="J531" s="42" t="str">
        <f>IFERROR(__xludf.DUMMYFUNCTION("GOOGLETRANSLATE(I531,""en"",""pl"")"),"Ta skórka została opracowana wyłącznie dla wersji podstawowej XNV, takiej jak XNV-C9083R (T). Pozostałe wersje są jeszcze w fazie testów. Skóra jest gotowa do malowania. Wyprodukowano w Wielkiej Brytanii.")</f>
        <v>Ta skórka została opracowana wyłącznie dla wersji podstawowej XNV, takiej jak XNV-C9083R (T). Pozostałe wersje są jeszcze w fazie testów. Skóra jest gotowa do malowania. Wyprodukowano w Wielkiej Brytanii.</v>
      </c>
      <c r="K531" s="108"/>
      <c r="L531" s="44">
        <v>64.0</v>
      </c>
      <c r="M531" s="8"/>
      <c r="N531" s="45" t="s">
        <v>22</v>
      </c>
      <c r="O531" s="97"/>
      <c r="P531" s="36"/>
      <c r="Q531" s="35"/>
      <c r="R531" s="68"/>
      <c r="S531" s="68"/>
      <c r="T531" s="68"/>
      <c r="U531" s="35"/>
      <c r="V531" s="35"/>
      <c r="W531" s="35"/>
      <c r="X531" s="35"/>
      <c r="Y531" s="35"/>
      <c r="Z531" s="35"/>
      <c r="AA531" s="35"/>
      <c r="AB531" s="35"/>
      <c r="AC531" s="60"/>
      <c r="AD531" s="85"/>
      <c r="AE531" s="85"/>
      <c r="AF531" s="85"/>
      <c r="AG531" s="85"/>
      <c r="AH531" s="85"/>
      <c r="AI531" s="85"/>
      <c r="AJ531" s="85"/>
      <c r="AK531" s="85"/>
      <c r="AL531" s="85"/>
      <c r="AM531" s="85"/>
      <c r="AN531" s="85"/>
      <c r="AO531" s="85"/>
      <c r="AP531" s="85"/>
    </row>
    <row r="532" ht="79.5" customHeight="1">
      <c r="A532" s="29"/>
      <c r="B532" s="38" t="s">
        <v>23</v>
      </c>
      <c r="C532" s="39" t="s">
        <v>1526</v>
      </c>
      <c r="D532" s="40" t="s">
        <v>1527</v>
      </c>
      <c r="E532" s="118"/>
      <c r="F532" s="40"/>
      <c r="G532" s="39"/>
      <c r="H532" s="41" t="s">
        <v>79</v>
      </c>
      <c r="I532" s="48" t="s">
        <v>1528</v>
      </c>
      <c r="J532" s="42" t="str">
        <f>IFERROR(__xludf.DUMMYFUNCTION("GOOGLETRANSLATE(I532,""en"",""pl"")"),"Obudowa sufitowa kamery z głowicą z poliwęglanu, biała, RAL9003. Kompatybilna z SLA-T2480, SLA-T2480A, SLA-T4680, SLA-T4680A.")</f>
        <v>Obudowa sufitowa kamery z głowicą z poliwęglanu, biała, RAL9003. Kompatybilna z SLA-T2480, SLA-T2480A, SLA-T4680, SLA-T4680A.</v>
      </c>
      <c r="K532" s="43" t="s">
        <v>21</v>
      </c>
      <c r="L532" s="44">
        <v>39.0</v>
      </c>
      <c r="M532" s="8"/>
      <c r="N532" s="45" t="s">
        <v>22</v>
      </c>
      <c r="O532" s="97"/>
      <c r="P532" s="36"/>
      <c r="Q532" s="35"/>
      <c r="R532" s="68"/>
      <c r="S532" s="68"/>
      <c r="T532" s="68"/>
      <c r="U532" s="35"/>
      <c r="V532" s="35"/>
      <c r="W532" s="35"/>
      <c r="X532" s="35"/>
      <c r="Y532" s="35"/>
      <c r="Z532" s="35"/>
      <c r="AA532" s="35"/>
      <c r="AB532" s="35"/>
      <c r="AC532" s="60"/>
      <c r="AD532" s="85"/>
      <c r="AE532" s="85"/>
      <c r="AF532" s="85"/>
      <c r="AG532" s="85"/>
      <c r="AH532" s="85"/>
      <c r="AI532" s="85"/>
      <c r="AJ532" s="85"/>
      <c r="AK532" s="85"/>
      <c r="AL532" s="85"/>
      <c r="AM532" s="85"/>
      <c r="AN532" s="85"/>
      <c r="AO532" s="85"/>
      <c r="AP532" s="85"/>
    </row>
    <row r="533" ht="79.5" customHeight="1">
      <c r="A533" s="29"/>
      <c r="B533" s="38" t="s">
        <v>23</v>
      </c>
      <c r="C533" s="39" t="s">
        <v>1529</v>
      </c>
      <c r="D533" s="40" t="s">
        <v>1527</v>
      </c>
      <c r="E533" s="118"/>
      <c r="F533" s="40"/>
      <c r="G533" s="39"/>
      <c r="H533" s="41" t="s">
        <v>79</v>
      </c>
      <c r="I533" s="48" t="s">
        <v>1530</v>
      </c>
      <c r="J533" s="42" t="str">
        <f>IFERROR(__xludf.DUMMYFUNCTION("GOOGLETRANSLATE(I533,""en"",""pl"")"),"Obudowa sufitowa do kamery z głowicą zdalną. Kompatybilna z modelami SLA-T2480, SLA-T2480A, SLA-T4680, SLA-T4680A, biała.")</f>
        <v>Obudowa sufitowa do kamery z głowicą zdalną. Kompatybilna z modelami SLA-T2480, SLA-T2480A, SLA-T4680, SLA-T4680A, biała.</v>
      </c>
      <c r="K533" s="43" t="s">
        <v>21</v>
      </c>
      <c r="L533" s="44">
        <v>39.0</v>
      </c>
      <c r="M533" s="8"/>
      <c r="N533" s="45" t="s">
        <v>22</v>
      </c>
      <c r="O533" s="97"/>
      <c r="P533" s="36"/>
      <c r="Q533" s="35"/>
      <c r="R533" s="68"/>
      <c r="S533" s="68"/>
      <c r="T533" s="68"/>
      <c r="U533" s="35"/>
      <c r="V533" s="35"/>
      <c r="W533" s="35"/>
      <c r="X533" s="35"/>
      <c r="Y533" s="35"/>
      <c r="Z533" s="35"/>
      <c r="AA533" s="35"/>
      <c r="AB533" s="35"/>
      <c r="AC533" s="60"/>
      <c r="AD533" s="85"/>
      <c r="AE533" s="85"/>
      <c r="AF533" s="85"/>
      <c r="AG533" s="85"/>
      <c r="AH533" s="85"/>
      <c r="AI533" s="85"/>
      <c r="AJ533" s="85"/>
      <c r="AK533" s="85"/>
      <c r="AL533" s="85"/>
      <c r="AM533" s="85"/>
      <c r="AN533" s="85"/>
      <c r="AO533" s="85"/>
      <c r="AP533" s="85"/>
    </row>
    <row r="534" ht="79.5" customHeight="1">
      <c r="A534" s="29"/>
      <c r="B534" s="38" t="s">
        <v>23</v>
      </c>
      <c r="C534" s="39" t="s">
        <v>1531</v>
      </c>
      <c r="D534" s="40" t="s">
        <v>1532</v>
      </c>
      <c r="E534" s="118"/>
      <c r="F534" s="40"/>
      <c r="G534" s="39"/>
      <c r="H534" s="41" t="s">
        <v>79</v>
      </c>
      <c r="I534" s="48" t="s">
        <v>1533</v>
      </c>
      <c r="J534" s="42" t="str">
        <f>IFERROR(__xludf.DUMMYFUNCTION("GOOGLETRANSLATE(I534,""en"",""pl"")"),"Aluminiowy uchwyt wiszący do kamer typu „rybie oko”. Kompatybilny z modelami QND-8021/8011/6021/6011,
QNF-8010/9010, biały")</f>
        <v>Aluminiowy uchwyt wiszący do kamer typu „rybie oko”. Kompatybilny z modelami QND-8021/8011/6021/6011,
QNF-8010/9010, biały</v>
      </c>
      <c r="K534" s="43" t="s">
        <v>21</v>
      </c>
      <c r="L534" s="44">
        <v>20.0</v>
      </c>
      <c r="M534" s="8"/>
      <c r="N534" s="45" t="s">
        <v>22</v>
      </c>
      <c r="O534" s="97"/>
      <c r="P534" s="36"/>
      <c r="Q534" s="35"/>
      <c r="R534" s="68"/>
      <c r="S534" s="68"/>
      <c r="T534" s="68"/>
      <c r="U534" s="35"/>
      <c r="V534" s="35"/>
      <c r="W534" s="35"/>
      <c r="X534" s="35"/>
      <c r="Y534" s="35"/>
      <c r="Z534" s="35"/>
      <c r="AA534" s="35"/>
      <c r="AB534" s="35"/>
      <c r="AC534" s="60"/>
      <c r="AD534" s="85"/>
      <c r="AE534" s="85"/>
      <c r="AF534" s="85"/>
      <c r="AG534" s="85"/>
      <c r="AH534" s="85"/>
      <c r="AI534" s="85"/>
      <c r="AJ534" s="85"/>
      <c r="AK534" s="85"/>
      <c r="AL534" s="85"/>
      <c r="AM534" s="85"/>
      <c r="AN534" s="85"/>
      <c r="AO534" s="85"/>
      <c r="AP534" s="85"/>
    </row>
    <row r="535" ht="79.5" customHeight="1">
      <c r="A535" s="29"/>
      <c r="B535" s="38" t="s">
        <v>23</v>
      </c>
      <c r="C535" s="39" t="s">
        <v>1534</v>
      </c>
      <c r="D535" s="40" t="s">
        <v>1532</v>
      </c>
      <c r="E535" s="118"/>
      <c r="F535" s="40"/>
      <c r="G535" s="39"/>
      <c r="H535" s="41" t="s">
        <v>79</v>
      </c>
      <c r="I535" s="48" t="s">
        <v>1535</v>
      </c>
      <c r="J535" s="42" t="str">
        <f>IFERROR(__xludf.DUMMYFUNCTION("GOOGLETRANSLATE(I535,""en"",""pl"")"),"Uchwyt wiszący, biały, z plastikową nakładką, kompatybilny z QNV-C8011R/C9011R, QNF-8010/9010, QND-6011/6021, QND-8011/8021")</f>
        <v>Uchwyt wiszący, biały, z plastikową nakładką, kompatybilny z QNV-C8011R/C9011R, QNF-8010/9010, QND-6011/6021, QND-8011/8021</v>
      </c>
      <c r="K535" s="43" t="s">
        <v>21</v>
      </c>
      <c r="L535" s="44">
        <v>34.0</v>
      </c>
      <c r="M535" s="8"/>
      <c r="N535" s="45" t="s">
        <v>22</v>
      </c>
      <c r="O535" s="97"/>
      <c r="P535" s="36"/>
      <c r="Q535" s="35"/>
      <c r="R535" s="68"/>
      <c r="S535" s="68"/>
      <c r="T535" s="68"/>
      <c r="U535" s="35"/>
      <c r="V535" s="35"/>
      <c r="W535" s="35"/>
      <c r="X535" s="35"/>
      <c r="Y535" s="35"/>
      <c r="Z535" s="35"/>
      <c r="AA535" s="35"/>
      <c r="AB535" s="35"/>
      <c r="AC535" s="60"/>
      <c r="AD535" s="85"/>
      <c r="AE535" s="85"/>
      <c r="AF535" s="85"/>
      <c r="AG535" s="85"/>
      <c r="AH535" s="85"/>
      <c r="AI535" s="85"/>
      <c r="AJ535" s="85"/>
      <c r="AK535" s="85"/>
      <c r="AL535" s="85"/>
      <c r="AM535" s="85"/>
      <c r="AN535" s="85"/>
      <c r="AO535" s="85"/>
      <c r="AP535" s="85"/>
    </row>
    <row r="536" ht="79.5" customHeight="1">
      <c r="A536" s="29"/>
      <c r="B536" s="38" t="s">
        <v>23</v>
      </c>
      <c r="C536" s="39" t="s">
        <v>1536</v>
      </c>
      <c r="D536" s="40" t="s">
        <v>1532</v>
      </c>
      <c r="E536" s="118"/>
      <c r="F536" s="40"/>
      <c r="G536" s="39"/>
      <c r="H536" s="41" t="s">
        <v>79</v>
      </c>
      <c r="I536" s="48" t="s">
        <v>1537</v>
      </c>
      <c r="J536" s="42" t="str">
        <f>IFERROR(__xludf.DUMMYFUNCTION("GOOGLETRANSLATE(I536,""en"",""pl"")"),"Aluminiowy uchwyt wiszący do kamer kopułkowych. Kompatybilny z modelami QND-7080R/6070R, QNV-7010R/7020R/7030R/6010R/6020R/6030R, XNV-8020R/8030R/8040R/6010/6020R, HCV-7010R/7020R/7030R, kolor kości słoniowej.")</f>
        <v>Aluminiowy uchwyt wiszący do kamer kopułkowych. Kompatybilny z modelami QND-7080R/6070R, QNV-7010R/7020R/7030R/6010R/6020R/6030R, XNV-8020R/8030R/8040R/6010/6020R, HCV-7010R/7020R/7030R, kolor kości słoniowej.</v>
      </c>
      <c r="K536" s="43" t="s">
        <v>21</v>
      </c>
      <c r="L536" s="44">
        <v>22.0</v>
      </c>
      <c r="M536" s="8"/>
      <c r="N536" s="45" t="s">
        <v>22</v>
      </c>
      <c r="O536" s="97"/>
      <c r="P536" s="36"/>
      <c r="Q536" s="35"/>
      <c r="R536" s="68"/>
      <c r="S536" s="68"/>
      <c r="T536" s="68"/>
      <c r="U536" s="35"/>
      <c r="V536" s="35"/>
      <c r="W536" s="35"/>
      <c r="X536" s="35"/>
      <c r="Y536" s="35"/>
      <c r="Z536" s="35"/>
      <c r="AA536" s="35"/>
      <c r="AB536" s="35"/>
      <c r="AC536" s="60"/>
      <c r="AD536" s="85"/>
      <c r="AE536" s="85"/>
      <c r="AF536" s="85"/>
      <c r="AG536" s="85"/>
      <c r="AH536" s="85"/>
      <c r="AI536" s="85"/>
      <c r="AJ536" s="85"/>
      <c r="AK536" s="85"/>
      <c r="AL536" s="85"/>
      <c r="AM536" s="85"/>
      <c r="AN536" s="85"/>
      <c r="AO536" s="85"/>
      <c r="AP536" s="85"/>
    </row>
    <row r="537" ht="79.5" customHeight="1">
      <c r="A537" s="29"/>
      <c r="B537" s="38" t="s">
        <v>23</v>
      </c>
      <c r="C537" s="39" t="s">
        <v>1538</v>
      </c>
      <c r="D537" s="40" t="s">
        <v>1532</v>
      </c>
      <c r="E537" s="118"/>
      <c r="F537" s="40"/>
      <c r="G537" s="39"/>
      <c r="H537" s="41" t="s">
        <v>79</v>
      </c>
      <c r="I537" s="48" t="s">
        <v>1539</v>
      </c>
      <c r="J537" s="42" t="str">
        <f>IFERROR(__xludf.DUMMYFUNCTION("GOOGLETRANSLATE(I537,""en"",""pl"")"),"Aluminiowy uchwyt wiszący do kamer kopułkowych. Kompatybilny z kamerami QNV-8010R/8020R/8030R/6012R/6022R/6032R, QND-8080R/6082R, LNV-6010R/6020R/6030R, LND-6070R, biały, QNV-6012R1/6022R1/6032R1")</f>
        <v>Aluminiowy uchwyt wiszący do kamer kopułkowych. Kompatybilny z kamerami QNV-8010R/8020R/8030R/6012R/6022R/6032R, QND-8080R/6082R, LNV-6010R/6020R/6030R, LND-6070R, biały, QNV-6012R1/6022R1/6032R1</v>
      </c>
      <c r="K537" s="43" t="s">
        <v>21</v>
      </c>
      <c r="L537" s="44">
        <v>21.0</v>
      </c>
      <c r="M537" s="8"/>
      <c r="N537" s="45" t="s">
        <v>22</v>
      </c>
      <c r="O537" s="97"/>
      <c r="P537" s="36"/>
      <c r="Q537" s="35"/>
      <c r="R537" s="68"/>
      <c r="S537" s="68"/>
      <c r="T537" s="68"/>
      <c r="U537" s="35"/>
      <c r="V537" s="35"/>
      <c r="W537" s="35"/>
      <c r="X537" s="35"/>
      <c r="Y537" s="35"/>
      <c r="Z537" s="35"/>
      <c r="AA537" s="35"/>
      <c r="AB537" s="35"/>
      <c r="AC537" s="60"/>
      <c r="AD537" s="85"/>
      <c r="AE537" s="85"/>
      <c r="AF537" s="85"/>
      <c r="AG537" s="85"/>
      <c r="AH537" s="85"/>
      <c r="AI537" s="85"/>
      <c r="AJ537" s="85"/>
      <c r="AK537" s="85"/>
      <c r="AL537" s="85"/>
      <c r="AM537" s="85"/>
      <c r="AN537" s="85"/>
      <c r="AO537" s="85"/>
      <c r="AP537" s="85"/>
    </row>
    <row r="538" ht="79.5" customHeight="1">
      <c r="A538" s="29"/>
      <c r="B538" s="38" t="s">
        <v>23</v>
      </c>
      <c r="C538" s="39" t="s">
        <v>1540</v>
      </c>
      <c r="D538" s="40" t="s">
        <v>1532</v>
      </c>
      <c r="E538" s="118"/>
      <c r="F538" s="40"/>
      <c r="G538" s="39"/>
      <c r="H538" s="41" t="s">
        <v>79</v>
      </c>
      <c r="I538" s="48" t="s">
        <v>1541</v>
      </c>
      <c r="J538" s="42" t="str">
        <f>IFERROR(__xludf.DUMMYFUNCTION("GOOGLETRANSLATE(I538,""en"",""pl"")"),"Uchwyt wiszący, biały, z plastikową nakładką, kompatybilny z QNV-C8083R/9083R")</f>
        <v>Uchwyt wiszący, biały, z plastikową nakładką, kompatybilny z QNV-C8083R/9083R</v>
      </c>
      <c r="K538" s="43" t="s">
        <v>21</v>
      </c>
      <c r="L538" s="44">
        <v>49.0</v>
      </c>
      <c r="M538" s="8"/>
      <c r="N538" s="45" t="s">
        <v>22</v>
      </c>
      <c r="O538" s="97"/>
      <c r="P538" s="36"/>
      <c r="Q538" s="35"/>
      <c r="R538" s="68"/>
      <c r="S538" s="68"/>
      <c r="T538" s="68"/>
      <c r="U538" s="35"/>
      <c r="V538" s="35"/>
      <c r="W538" s="35"/>
      <c r="X538" s="35"/>
      <c r="Y538" s="35"/>
      <c r="Z538" s="35"/>
      <c r="AA538" s="35"/>
      <c r="AB538" s="35"/>
      <c r="AC538" s="60"/>
      <c r="AD538" s="85"/>
      <c r="AE538" s="85"/>
      <c r="AF538" s="85"/>
      <c r="AG538" s="85"/>
      <c r="AH538" s="85"/>
      <c r="AI538" s="85"/>
      <c r="AJ538" s="85"/>
      <c r="AK538" s="85"/>
      <c r="AL538" s="85"/>
      <c r="AM538" s="85"/>
      <c r="AN538" s="85"/>
      <c r="AO538" s="85"/>
      <c r="AP538" s="85"/>
    </row>
    <row r="539" ht="79.5" customHeight="1">
      <c r="A539" s="29"/>
      <c r="B539" s="38" t="s">
        <v>23</v>
      </c>
      <c r="C539" s="39" t="s">
        <v>1542</v>
      </c>
      <c r="D539" s="40" t="s">
        <v>1532</v>
      </c>
      <c r="E539" s="118"/>
      <c r="F539" s="40"/>
      <c r="G539" s="39"/>
      <c r="H539" s="41" t="s">
        <v>79</v>
      </c>
      <c r="I539" s="48" t="s">
        <v>1543</v>
      </c>
      <c r="J539" s="42" t="str">
        <f>IFERROR(__xludf.DUMMYFUNCTION("GOOGLETRANSLATE(I539,""en"",""pl"")"),"Aluminiowy uchwyt wiszący do kamer kopułkowych. Kompatybilny z QNE-8011R, QNE-8021R, biały.")</f>
        <v>Aluminiowy uchwyt wiszący do kamer kopułkowych. Kompatybilny z QNE-8011R, QNE-8021R, biały.</v>
      </c>
      <c r="K539" s="43" t="s">
        <v>21</v>
      </c>
      <c r="L539" s="44">
        <v>32.0</v>
      </c>
      <c r="M539" s="8"/>
      <c r="N539" s="45" t="s">
        <v>22</v>
      </c>
      <c r="O539" s="97"/>
      <c r="P539" s="36"/>
      <c r="Q539" s="35"/>
      <c r="R539" s="68"/>
      <c r="S539" s="68"/>
      <c r="T539" s="68"/>
      <c r="U539" s="35"/>
      <c r="V539" s="35"/>
      <c r="W539" s="35"/>
      <c r="X539" s="35"/>
      <c r="Y539" s="35"/>
      <c r="Z539" s="35"/>
      <c r="AA539" s="35"/>
      <c r="AB539" s="35"/>
      <c r="AC539" s="60"/>
      <c r="AD539" s="85"/>
      <c r="AE539" s="85"/>
      <c r="AF539" s="85"/>
      <c r="AG539" s="85"/>
      <c r="AH539" s="85"/>
      <c r="AI539" s="85"/>
      <c r="AJ539" s="85"/>
      <c r="AK539" s="85"/>
      <c r="AL539" s="85"/>
      <c r="AM539" s="85"/>
      <c r="AN539" s="85"/>
      <c r="AO539" s="85"/>
      <c r="AP539" s="85"/>
    </row>
    <row r="540" ht="79.5" customHeight="1">
      <c r="A540" s="29"/>
      <c r="B540" s="38" t="s">
        <v>23</v>
      </c>
      <c r="C540" s="39" t="s">
        <v>1544</v>
      </c>
      <c r="D540" s="40" t="s">
        <v>1532</v>
      </c>
      <c r="E540" s="118"/>
      <c r="F540" s="40"/>
      <c r="G540" s="39"/>
      <c r="H540" s="41" t="s">
        <v>79</v>
      </c>
      <c r="I540" s="48" t="s">
        <v>1545</v>
      </c>
      <c r="J540" s="42" t="str">
        <f>IFERROR(__xludf.DUMMYFUNCTION("GOOGLETRANSLATE(I540,""en"",""pl"")"),"Aluminiowy uchwyt wiszący do kamer PTZ zewnętrznych. Kompatybilny z modelami XNP-9300RW/9250R/9250/8300RW/8250R/8250/6400RW/6400R/6400, biały.")</f>
        <v>Aluminiowy uchwyt wiszący do kamer PTZ zewnętrznych. Kompatybilny z modelami XNP-9300RW/9250R/9250/8300RW/8250R/8250/6400RW/6400R/6400, biały.</v>
      </c>
      <c r="K540" s="43" t="s">
        <v>21</v>
      </c>
      <c r="L540" s="44">
        <v>60.0</v>
      </c>
      <c r="M540" s="8"/>
      <c r="N540" s="45" t="s">
        <v>22</v>
      </c>
      <c r="O540" s="97"/>
      <c r="P540" s="35"/>
      <c r="Q540" s="35"/>
      <c r="R540" s="68"/>
      <c r="S540" s="68"/>
      <c r="T540" s="68"/>
      <c r="U540" s="35"/>
      <c r="V540" s="35"/>
      <c r="W540" s="35"/>
      <c r="X540" s="35"/>
      <c r="Y540" s="35"/>
      <c r="Z540" s="35"/>
      <c r="AA540" s="35"/>
      <c r="AB540" s="35"/>
      <c r="AC540" s="101"/>
      <c r="AD540" s="98"/>
      <c r="AE540" s="98"/>
      <c r="AF540" s="98"/>
      <c r="AG540" s="98"/>
      <c r="AH540" s="98"/>
      <c r="AI540" s="98"/>
      <c r="AJ540" s="98"/>
      <c r="AK540" s="98"/>
      <c r="AL540" s="98"/>
      <c r="AM540" s="98"/>
      <c r="AN540" s="98"/>
      <c r="AO540" s="98"/>
      <c r="AP540" s="98"/>
    </row>
    <row r="541" ht="79.5" customHeight="1">
      <c r="A541" s="29"/>
      <c r="B541" s="38" t="s">
        <v>23</v>
      </c>
      <c r="C541" s="39" t="s">
        <v>1546</v>
      </c>
      <c r="D541" s="40" t="s">
        <v>1547</v>
      </c>
      <c r="E541" s="118"/>
      <c r="F541" s="40"/>
      <c r="G541" s="39"/>
      <c r="H541" s="41" t="s">
        <v>79</v>
      </c>
      <c r="I541" s="48" t="s">
        <v>1548</v>
      </c>
      <c r="J541" s="42" t="str">
        <f>IFERROR(__xludf.DUMMYFUNCTION("GOOGLETRANSLATE(I541,""en"",""pl"")"),"Aluminiowa obudowa do montażu wiszącego. Używaj SNI-1MC lub SNI-1MC-PS. Uchwyt SNI nie jest dołączony.
Można jej również używać z SPO-8315. Kompatybilna z PNM-C34404RQPZ.")</f>
        <v>Aluminiowa obudowa do montażu wiszącego. Używaj SNI-1MC lub SNI-1MC-PS. Uchwyt SNI nie jest dołączony.
Można jej również używać z SPO-8315. Kompatybilna z PNM-C34404RQPZ.</v>
      </c>
      <c r="K541" s="43" t="s">
        <v>21</v>
      </c>
      <c r="L541" s="44">
        <v>400.0</v>
      </c>
      <c r="M541" s="8"/>
      <c r="N541" s="45" t="s">
        <v>22</v>
      </c>
      <c r="O541" s="97"/>
      <c r="P541" s="35"/>
      <c r="Q541" s="35"/>
      <c r="R541" s="68"/>
      <c r="S541" s="68"/>
      <c r="T541" s="68"/>
      <c r="U541" s="35"/>
      <c r="V541" s="35"/>
      <c r="W541" s="35"/>
      <c r="X541" s="35"/>
      <c r="Y541" s="35"/>
      <c r="Z541" s="35"/>
      <c r="AA541" s="35"/>
      <c r="AB541" s="35"/>
      <c r="AC541" s="101"/>
      <c r="AD541" s="98"/>
      <c r="AE541" s="98"/>
      <c r="AF541" s="98"/>
      <c r="AG541" s="98"/>
      <c r="AH541" s="98"/>
      <c r="AI541" s="98"/>
      <c r="AJ541" s="98"/>
      <c r="AK541" s="98"/>
      <c r="AL541" s="98"/>
      <c r="AM541" s="98"/>
      <c r="AN541" s="98"/>
      <c r="AO541" s="98"/>
      <c r="AP541" s="98"/>
    </row>
    <row r="542" ht="79.5" customHeight="1">
      <c r="A542" s="29"/>
      <c r="B542" s="38" t="s">
        <v>23</v>
      </c>
      <c r="C542" s="39" t="s">
        <v>1549</v>
      </c>
      <c r="D542" s="40" t="s">
        <v>1547</v>
      </c>
      <c r="E542" s="118"/>
      <c r="F542" s="40"/>
      <c r="G542" s="39"/>
      <c r="H542" s="41" t="s">
        <v>79</v>
      </c>
      <c r="I542" s="48" t="s">
        <v>1550</v>
      </c>
      <c r="J542" s="42" t="str">
        <f>IFERROR(__xludf.DUMMYFUNCTION("GOOGLETRANSLATE(I542,""en"",""pl"")"),"Aluminiowa obudowa wisząca. Zaprojektowana do sieci światłowodowych i iniektorów PoE.
Używana z SNI-1MC lub SNI-1MC-PS. Uchwyt SNI nie jest dołączony.
Kompatybilna z XNP-6400/8250/9250, XNP-C6403/C8253/C9253/C7310R/C9310R")</f>
        <v>Aluminiowa obudowa wisząca. Zaprojektowana do sieci światłowodowych i iniektorów PoE.
Używana z SNI-1MC lub SNI-1MC-PS. Uchwyt SNI nie jest dołączony.
Kompatybilna z XNP-6400/8250/9250, XNP-C6403/C8253/C9253/C7310R/C9310R</v>
      </c>
      <c r="K542" s="43" t="s">
        <v>21</v>
      </c>
      <c r="L542" s="44">
        <v>367.0</v>
      </c>
      <c r="M542" s="8"/>
      <c r="N542" s="45" t="s">
        <v>22</v>
      </c>
      <c r="O542" s="97"/>
      <c r="P542" s="35"/>
      <c r="Q542" s="35"/>
      <c r="R542" s="68"/>
      <c r="S542" s="68"/>
      <c r="T542" s="68"/>
      <c r="U542" s="35"/>
      <c r="V542" s="35"/>
      <c r="W542" s="35"/>
      <c r="X542" s="35"/>
      <c r="Y542" s="35"/>
      <c r="Z542" s="35"/>
      <c r="AA542" s="35"/>
      <c r="AB542" s="35"/>
      <c r="AC542" s="101"/>
      <c r="AD542" s="98"/>
      <c r="AE542" s="98"/>
      <c r="AF542" s="98"/>
      <c r="AG542" s="98"/>
      <c r="AH542" s="98"/>
      <c r="AI542" s="98"/>
      <c r="AJ542" s="98"/>
      <c r="AK542" s="98"/>
      <c r="AL542" s="98"/>
      <c r="AM542" s="98"/>
      <c r="AN542" s="98"/>
      <c r="AO542" s="98"/>
      <c r="AP542" s="98"/>
    </row>
    <row r="543" ht="79.5" customHeight="1">
      <c r="A543" s="29"/>
      <c r="B543" s="38" t="s">
        <v>23</v>
      </c>
      <c r="C543" s="39" t="s">
        <v>1551</v>
      </c>
      <c r="D543" s="40" t="s">
        <v>1552</v>
      </c>
      <c r="E543" s="118"/>
      <c r="F543" s="40"/>
      <c r="G543" s="39"/>
      <c r="H543" s="41" t="s">
        <v>79</v>
      </c>
      <c r="I543" s="48" t="s">
        <v>1553</v>
      </c>
      <c r="J543" s="42" t="str">
        <f>IFERROR(__xludf.DUMMYFUNCTION("GOOGLETRANSLATE(I543,""en"",""pl"")"),"Zestaw 5 płyt montażowych do SBP-250WMW i SBP-400WMW, kompatybilnych z XNV-C6083R/C7083R/C8083R/C9083R, XNV-A8084R, XNO-6083R, XNF-9010RV/9013RV, XNF-9010RVM")</f>
        <v>Zestaw 5 płyt montażowych do SBP-250WMW i SBP-400WMW, kompatybilnych z XNV-C6083R/C7083R/C8083R/C9083R, XNV-A8084R, XNO-6083R, XNF-9010RV/9013RV, XNF-9010RVM</v>
      </c>
      <c r="K543" s="43" t="s">
        <v>21</v>
      </c>
      <c r="L543" s="44">
        <v>30.0</v>
      </c>
      <c r="M543" s="8"/>
      <c r="N543" s="45" t="s">
        <v>22</v>
      </c>
      <c r="O543" s="97"/>
      <c r="P543" s="36"/>
      <c r="Q543" s="35"/>
      <c r="R543" s="68"/>
      <c r="S543" s="68"/>
      <c r="T543" s="68"/>
      <c r="U543" s="35"/>
      <c r="V543" s="35"/>
      <c r="W543" s="35"/>
      <c r="X543" s="35"/>
      <c r="Y543" s="35"/>
      <c r="Z543" s="35"/>
      <c r="AA543" s="35"/>
      <c r="AB543" s="35"/>
      <c r="AC543" s="60"/>
      <c r="AD543" s="85"/>
      <c r="AE543" s="85"/>
      <c r="AF543" s="85"/>
      <c r="AG543" s="85"/>
      <c r="AH543" s="85"/>
      <c r="AI543" s="85"/>
      <c r="AJ543" s="85"/>
      <c r="AK543" s="85"/>
      <c r="AL543" s="85"/>
      <c r="AM543" s="85"/>
      <c r="AN543" s="85"/>
      <c r="AO543" s="85"/>
      <c r="AP543" s="85"/>
    </row>
    <row r="544" ht="79.5" customHeight="1">
      <c r="A544" s="29"/>
      <c r="B544" s="38" t="s">
        <v>23</v>
      </c>
      <c r="C544" s="39" t="s">
        <v>1554</v>
      </c>
      <c r="D544" s="40" t="s">
        <v>1532</v>
      </c>
      <c r="E544" s="118"/>
      <c r="F544" s="40"/>
      <c r="G544" s="39"/>
      <c r="H544" s="41" t="s">
        <v>79</v>
      </c>
      <c r="I544" s="48" t="s">
        <v>1555</v>
      </c>
      <c r="J544" s="42" t="str">
        <f>IFERROR(__xludf.DUMMYFUNCTION("GOOGLETRANSLATE(I544,""en"",""pl"")"),"Rdzeń: aluminium / Nasadka: tworzywo sztuczne, kolor biały, Obsługiwane produkty: XND-C6083RV/7083RV/8083RV/9083RV, XND-6083RV/8083RV/8093RV/9083RV, PND-A6081RV/9081RV, XNV-C6083R/7083R/8083R/9083R, XNF-9013RV/9010RV, XND-8082RV/9082RV")</f>
        <v>Rdzeń: aluminium / Nasadka: tworzywo sztuczne, kolor biały, Obsługiwane produkty: XND-C6083RV/7083RV/8083RV/9083RV, XND-6083RV/8083RV/8093RV/9083RV, PND-A6081RV/9081RV, XNV-C6083R/7083R/8083R/9083R, XNF-9013RV/9010RV, XND-8082RV/9082RV</v>
      </c>
      <c r="K544" s="43" t="s">
        <v>21</v>
      </c>
      <c r="L544" s="44">
        <v>49.0</v>
      </c>
      <c r="M544" s="8"/>
      <c r="N544" s="45" t="s">
        <v>22</v>
      </c>
      <c r="O544" s="97"/>
      <c r="P544" s="36"/>
      <c r="Q544" s="35"/>
      <c r="R544" s="68"/>
      <c r="S544" s="68"/>
      <c r="T544" s="68"/>
      <c r="U544" s="35"/>
      <c r="V544" s="35"/>
      <c r="W544" s="35"/>
      <c r="X544" s="35"/>
      <c r="Y544" s="35"/>
      <c r="Z544" s="35"/>
      <c r="AA544" s="35"/>
      <c r="AB544" s="35"/>
      <c r="AC544" s="60"/>
      <c r="AD544" s="85"/>
      <c r="AE544" s="85"/>
      <c r="AF544" s="85"/>
      <c r="AG544" s="85"/>
      <c r="AH544" s="85"/>
      <c r="AI544" s="85"/>
      <c r="AJ544" s="85"/>
      <c r="AK544" s="85"/>
      <c r="AL544" s="85"/>
      <c r="AM544" s="85"/>
      <c r="AN544" s="85"/>
      <c r="AO544" s="85"/>
      <c r="AP544" s="85"/>
    </row>
    <row r="545" ht="79.5" customHeight="1">
      <c r="A545" s="29"/>
      <c r="B545" s="38" t="s">
        <v>23</v>
      </c>
      <c r="C545" s="39" t="s">
        <v>1556</v>
      </c>
      <c r="D545" s="40" t="s">
        <v>1532</v>
      </c>
      <c r="E545" s="118"/>
      <c r="F545" s="40"/>
      <c r="G545" s="39"/>
      <c r="H545" s="41" t="s">
        <v>79</v>
      </c>
      <c r="I545" s="48" t="s">
        <v>1557</v>
      </c>
      <c r="J545" s="42" t="str">
        <f>IFERROR(__xludf.DUMMYFUNCTION("GOOGLETRANSLATE(I545,""en"",""pl"")"),"Aluminiowy uchwyt wiszący do kamer kopułkowych antywandalowych do użytku wewnątrz budynków. Kompatybilny z modelami XND-8081VZ/8081RV/8081REV/6081VZ/6081V/6081RV/6081REV, PND-A9081RV, kolor kości słoniowej.")</f>
        <v>Aluminiowy uchwyt wiszący do kamer kopułkowych antywandalowych do użytku wewnątrz budynków. Kompatybilny z modelami XND-8081VZ/8081RV/8081REV/6081VZ/6081V/6081RV/6081REV, PND-A9081RV, kolor kości słoniowej.</v>
      </c>
      <c r="K545" s="43" t="s">
        <v>21</v>
      </c>
      <c r="L545" s="44">
        <v>46.0</v>
      </c>
      <c r="M545" s="8"/>
      <c r="N545" s="45" t="s">
        <v>22</v>
      </c>
      <c r="O545" s="97"/>
      <c r="P545" s="36"/>
      <c r="Q545" s="35"/>
      <c r="R545" s="68"/>
      <c r="S545" s="68"/>
      <c r="T545" s="68"/>
      <c r="U545" s="35"/>
      <c r="V545" s="35"/>
      <c r="W545" s="35"/>
      <c r="X545" s="35"/>
      <c r="Y545" s="35"/>
      <c r="Z545" s="35"/>
      <c r="AA545" s="35"/>
      <c r="AB545" s="35"/>
      <c r="AC545" s="60"/>
      <c r="AD545" s="85"/>
      <c r="AE545" s="85"/>
      <c r="AF545" s="85"/>
      <c r="AG545" s="85"/>
      <c r="AH545" s="85"/>
      <c r="AI545" s="85"/>
      <c r="AJ545" s="85"/>
      <c r="AK545" s="85"/>
      <c r="AL545" s="85"/>
      <c r="AM545" s="85"/>
      <c r="AN545" s="85"/>
      <c r="AO545" s="85"/>
      <c r="AP545" s="85"/>
    </row>
    <row r="546" ht="79.5" customHeight="1">
      <c r="A546" s="29"/>
      <c r="B546" s="38" t="s">
        <v>23</v>
      </c>
      <c r="C546" s="39" t="s">
        <v>1558</v>
      </c>
      <c r="D546" s="40" t="s">
        <v>1532</v>
      </c>
      <c r="E546" s="118"/>
      <c r="F546" s="40"/>
      <c r="G546" s="39"/>
      <c r="H546" s="41" t="s">
        <v>79</v>
      </c>
      <c r="I546" s="48" t="s">
        <v>1559</v>
      </c>
      <c r="J546" s="42" t="str">
        <f>IFERROR(__xludf.DUMMYFUNCTION("GOOGLETRANSLATE(I546,""en"",""pl"")"),"Adapter do nasadki. Kompatybilny z XNP-6120H, kolor kości słoniowej.")</f>
        <v>Adapter do nasadki. Kompatybilny z XNP-6120H, kolor kości słoniowej.</v>
      </c>
      <c r="K546" s="43" t="s">
        <v>21</v>
      </c>
      <c r="L546" s="44">
        <v>21.0</v>
      </c>
      <c r="M546" s="8"/>
      <c r="N546" s="45" t="s">
        <v>22</v>
      </c>
      <c r="O546" s="97"/>
      <c r="P546" s="36"/>
      <c r="Q546" s="35"/>
      <c r="R546" s="68"/>
      <c r="S546" s="68"/>
      <c r="T546" s="68"/>
      <c r="U546" s="35"/>
      <c r="V546" s="35"/>
      <c r="W546" s="35"/>
      <c r="X546" s="35"/>
      <c r="Y546" s="35"/>
      <c r="Z546" s="35"/>
      <c r="AA546" s="35"/>
      <c r="AB546" s="35"/>
      <c r="AC546" s="60"/>
      <c r="AD546" s="85"/>
      <c r="AE546" s="85"/>
      <c r="AF546" s="85"/>
      <c r="AG546" s="85"/>
      <c r="AH546" s="85"/>
      <c r="AI546" s="85"/>
      <c r="AJ546" s="85"/>
      <c r="AK546" s="85"/>
      <c r="AL546" s="85"/>
      <c r="AM546" s="85"/>
      <c r="AN546" s="85"/>
      <c r="AO546" s="85"/>
      <c r="AP546" s="85"/>
    </row>
    <row r="547" ht="79.5" customHeight="1">
      <c r="A547" s="29"/>
      <c r="B547" s="38" t="s">
        <v>23</v>
      </c>
      <c r="C547" s="39" t="s">
        <v>1560</v>
      </c>
      <c r="D547" s="40" t="s">
        <v>1532</v>
      </c>
      <c r="E547" s="118"/>
      <c r="F547" s="40"/>
      <c r="G547" s="39"/>
      <c r="H547" s="41" t="s">
        <v>79</v>
      </c>
      <c r="I547" s="48" t="s">
        <v>1561</v>
      </c>
      <c r="J547" s="42" t="str">
        <f>IFERROR(__xludf.DUMMYFUNCTION("GOOGLETRANSLATE(I547,""en"",""pl"")"),"Rdzeń: aluminium / Nasadka: tworzywo sztuczne, kolor biały, Obsługiwane produkty: XNV-6083R/8083R/8093R/9083R, XNV-6083RZ/8083RZ/9083RZ, XNV-6123R, PNV-A6081R/9081R, XNV-8082R/9082R")</f>
        <v>Rdzeń: aluminium / Nasadka: tworzywo sztuczne, kolor biały, Obsługiwane produkty: XNV-6083R/8083R/8093R/9083R, XNV-6083RZ/8083RZ/9083RZ, XNV-6123R, PNV-A6081R/9081R, XNV-8082R/9082R</v>
      </c>
      <c r="K547" s="43" t="s">
        <v>21</v>
      </c>
      <c r="L547" s="44">
        <v>79.0</v>
      </c>
      <c r="M547" s="8"/>
      <c r="N547" s="45" t="s">
        <v>22</v>
      </c>
      <c r="O547" s="97"/>
      <c r="P547" s="36"/>
      <c r="Q547" s="35"/>
      <c r="R547" s="68"/>
      <c r="S547" s="68"/>
      <c r="T547" s="68"/>
      <c r="U547" s="35"/>
      <c r="V547" s="35"/>
      <c r="W547" s="35"/>
      <c r="X547" s="35"/>
      <c r="Y547" s="35"/>
      <c r="Z547" s="35"/>
      <c r="AA547" s="35"/>
      <c r="AB547" s="35"/>
      <c r="AC547" s="60"/>
      <c r="AD547" s="85"/>
      <c r="AE547" s="85"/>
      <c r="AF547" s="85"/>
      <c r="AG547" s="85"/>
      <c r="AH547" s="85"/>
      <c r="AI547" s="85"/>
      <c r="AJ547" s="85"/>
      <c r="AK547" s="85"/>
      <c r="AL547" s="85"/>
      <c r="AM547" s="85"/>
      <c r="AN547" s="85"/>
      <c r="AO547" s="85"/>
      <c r="AP547" s="85"/>
    </row>
    <row r="548" ht="79.5" customHeight="1">
      <c r="A548" s="29"/>
      <c r="B548" s="38" t="s">
        <v>23</v>
      </c>
      <c r="C548" s="39" t="s">
        <v>1562</v>
      </c>
      <c r="D548" s="40" t="s">
        <v>1532</v>
      </c>
      <c r="E548" s="118"/>
      <c r="F548" s="40"/>
      <c r="G548" s="39"/>
      <c r="H548" s="41" t="s">
        <v>79</v>
      </c>
      <c r="I548" s="48" t="s">
        <v>1563</v>
      </c>
      <c r="J548" s="42" t="str">
        <f>IFERROR(__xludf.DUMMYFUNCTION("GOOGLETRANSLATE(I548,""en"",""pl"")"),"Aluminiowy uchwyt wiszący do kamer kopułkowych zewnętrznych. Kompatybilny z modelami XNV-8081Z/8081RE/8081R/6081Z/6081/6081R/6081RE, PNV-A9081RV, kolor kości słoniowej.")</f>
        <v>Aluminiowy uchwyt wiszący do kamer kopułkowych zewnętrznych. Kompatybilny z modelami XNV-8081Z/8081RE/8081R/6081Z/6081/6081R/6081RE, PNV-A9081RV, kolor kości słoniowej.</v>
      </c>
      <c r="K548" s="43" t="s">
        <v>21</v>
      </c>
      <c r="L548" s="44">
        <v>46.0</v>
      </c>
      <c r="M548" s="8"/>
      <c r="N548" s="45" t="s">
        <v>22</v>
      </c>
      <c r="O548" s="97"/>
      <c r="P548" s="36"/>
      <c r="Q548" s="35"/>
      <c r="R548" s="68"/>
      <c r="S548" s="68"/>
      <c r="T548" s="68"/>
      <c r="U548" s="35"/>
      <c r="V548" s="35"/>
      <c r="W548" s="35"/>
      <c r="X548" s="35"/>
      <c r="Y548" s="35"/>
      <c r="Z548" s="35"/>
      <c r="AA548" s="35"/>
      <c r="AB548" s="35"/>
      <c r="AC548" s="60"/>
      <c r="AD548" s="85"/>
      <c r="AE548" s="85"/>
      <c r="AF548" s="85"/>
      <c r="AG548" s="85"/>
      <c r="AH548" s="85"/>
      <c r="AI548" s="85"/>
      <c r="AJ548" s="85"/>
      <c r="AK548" s="85"/>
      <c r="AL548" s="85"/>
      <c r="AM548" s="85"/>
      <c r="AN548" s="85"/>
      <c r="AO548" s="85"/>
      <c r="AP548" s="85"/>
    </row>
    <row r="549" ht="79.5" customHeight="1">
      <c r="A549" s="29"/>
      <c r="B549" s="38" t="s">
        <v>23</v>
      </c>
      <c r="C549" s="39" t="s">
        <v>1564</v>
      </c>
      <c r="D549" s="40" t="s">
        <v>1532</v>
      </c>
      <c r="E549" s="118"/>
      <c r="F549" s="40"/>
      <c r="G549" s="39"/>
      <c r="H549" s="41" t="s">
        <v>79</v>
      </c>
      <c r="I549" s="48" t="s">
        <v>1565</v>
      </c>
      <c r="J549" s="42" t="str">
        <f>IFERROR(__xludf.DUMMYFUNCTION("GOOGLETRANSLATE(I549,""en"",""pl"")"),"Aluminiowy uchwyt wiszący, biały, kompatybilny z PNM-C16013RVQ")</f>
        <v>Aluminiowy uchwyt wiszący, biały, kompatybilny z PNM-C16013RVQ</v>
      </c>
      <c r="K549" s="43" t="s">
        <v>21</v>
      </c>
      <c r="L549" s="44">
        <v>49.0</v>
      </c>
      <c r="M549" s="8"/>
      <c r="N549" s="45" t="s">
        <v>22</v>
      </c>
      <c r="O549" s="97"/>
      <c r="P549" s="36"/>
      <c r="Q549" s="35"/>
      <c r="R549" s="68"/>
      <c r="S549" s="68"/>
      <c r="T549" s="68"/>
      <c r="U549" s="35"/>
      <c r="V549" s="35"/>
      <c r="W549" s="35"/>
      <c r="X549" s="35"/>
      <c r="Y549" s="35"/>
      <c r="Z549" s="35"/>
      <c r="AA549" s="35"/>
      <c r="AB549" s="35"/>
      <c r="AC549" s="60"/>
      <c r="AD549" s="85"/>
      <c r="AE549" s="85"/>
      <c r="AF549" s="85"/>
      <c r="AG549" s="85"/>
      <c r="AH549" s="85"/>
      <c r="AI549" s="85"/>
      <c r="AJ549" s="85"/>
      <c r="AK549" s="85"/>
      <c r="AL549" s="85"/>
      <c r="AM549" s="85"/>
      <c r="AN549" s="85"/>
      <c r="AO549" s="85"/>
      <c r="AP549" s="85"/>
    </row>
    <row r="550" ht="79.5" customHeight="1">
      <c r="A550" s="29"/>
      <c r="B550" s="38" t="s">
        <v>23</v>
      </c>
      <c r="C550" s="39" t="s">
        <v>1566</v>
      </c>
      <c r="D550" s="40" t="s">
        <v>1552</v>
      </c>
      <c r="E550" s="118"/>
      <c r="F550" s="40"/>
      <c r="G550" s="39"/>
      <c r="H550" s="41" t="s">
        <v>79</v>
      </c>
      <c r="I550" s="125" t="s">
        <v>1567</v>
      </c>
      <c r="J550" s="42" t="str">
        <f>IFERROR(__xludf.DUMMYFUNCTION("GOOGLETRANSLATE(I550,""en"",""pl"")"),"Zestaw 5 płyt montażowych do SBP-250WMW i SBP-400WMW, kompatybilnych z PNM-7082RVD/12082RVD, PNM-C7083RVD/C12083RVD")</f>
        <v>Zestaw 5 płyt montażowych do SBP-250WMW i SBP-400WMW, kompatybilnych z PNM-7082RVD/12082RVD, PNM-C7083RVD/C12083RVD</v>
      </c>
      <c r="K550" s="43" t="s">
        <v>21</v>
      </c>
      <c r="L550" s="44">
        <v>30.0</v>
      </c>
      <c r="M550" s="8"/>
      <c r="N550" s="45" t="s">
        <v>22</v>
      </c>
      <c r="O550" s="97"/>
      <c r="P550" s="35"/>
      <c r="Q550" s="35"/>
      <c r="R550" s="68"/>
      <c r="S550" s="68"/>
      <c r="T550" s="68"/>
      <c r="U550" s="35"/>
      <c r="V550" s="35"/>
      <c r="W550" s="35"/>
      <c r="X550" s="35"/>
      <c r="Y550" s="35"/>
      <c r="Z550" s="35"/>
      <c r="AA550" s="35"/>
      <c r="AB550" s="35"/>
      <c r="AC550" s="101"/>
      <c r="AD550" s="98"/>
      <c r="AE550" s="98"/>
      <c r="AF550" s="98"/>
      <c r="AG550" s="98"/>
      <c r="AH550" s="98"/>
      <c r="AI550" s="98"/>
      <c r="AJ550" s="98"/>
      <c r="AK550" s="98"/>
      <c r="AL550" s="98"/>
      <c r="AM550" s="98"/>
      <c r="AN550" s="98"/>
      <c r="AO550" s="98"/>
      <c r="AP550" s="98"/>
    </row>
    <row r="551" ht="79.5" customHeight="1">
      <c r="A551" s="29"/>
      <c r="B551" s="38" t="s">
        <v>23</v>
      </c>
      <c r="C551" s="39" t="s">
        <v>1568</v>
      </c>
      <c r="D551" s="40" t="s">
        <v>1532</v>
      </c>
      <c r="E551" s="118"/>
      <c r="F551" s="40"/>
      <c r="G551" s="39"/>
      <c r="H551" s="41" t="s">
        <v>79</v>
      </c>
      <c r="I551" s="125" t="s">
        <v>1569</v>
      </c>
      <c r="J551" s="42" t="str">
        <f>IFERROR(__xludf.DUMMYFUNCTION("GOOGLETRANSLATE(I551,""en"",""pl"")"),"Uchwyt wiszący do PNM-C7083RVD/7082RVD i PNM-C12083RVD/12082RVD")</f>
        <v>Uchwyt wiszący do PNM-C7083RVD/7082RVD i PNM-C12083RVD/12082RVD</v>
      </c>
      <c r="K551" s="43" t="s">
        <v>21</v>
      </c>
      <c r="L551" s="44">
        <v>40.0</v>
      </c>
      <c r="M551" s="8"/>
      <c r="N551" s="45" t="s">
        <v>22</v>
      </c>
      <c r="O551" s="97"/>
      <c r="P551" s="35"/>
      <c r="Q551" s="35"/>
      <c r="R551" s="68"/>
      <c r="S551" s="68"/>
      <c r="T551" s="68"/>
      <c r="U551" s="35"/>
      <c r="V551" s="35"/>
      <c r="W551" s="35"/>
      <c r="X551" s="35"/>
      <c r="Y551" s="35"/>
      <c r="Z551" s="35"/>
      <c r="AA551" s="35"/>
      <c r="AB551" s="35"/>
      <c r="AC551" s="101"/>
      <c r="AD551" s="98"/>
      <c r="AE551" s="98"/>
      <c r="AF551" s="98"/>
      <c r="AG551" s="98"/>
      <c r="AH551" s="98"/>
      <c r="AI551" s="98"/>
      <c r="AJ551" s="98"/>
      <c r="AK551" s="98"/>
      <c r="AL551" s="98"/>
      <c r="AM551" s="98"/>
      <c r="AN551" s="98"/>
      <c r="AO551" s="98"/>
      <c r="AP551" s="98"/>
    </row>
    <row r="552" ht="79.5" customHeight="1">
      <c r="A552" s="29"/>
      <c r="B552" s="38" t="s">
        <v>23</v>
      </c>
      <c r="C552" s="39" t="s">
        <v>1570</v>
      </c>
      <c r="D552" s="40" t="s">
        <v>1532</v>
      </c>
      <c r="E552" s="118"/>
      <c r="F552" s="40"/>
      <c r="G552" s="39"/>
      <c r="H552" s="41" t="s">
        <v>79</v>
      </c>
      <c r="I552" s="48" t="s">
        <v>1571</v>
      </c>
      <c r="J552" s="42" t="str">
        <f>IFERROR(__xludf.DUMMYFUNCTION("GOOGLETRANSLATE(I552,""en"",""pl"")"),"Zaślepka wisząca do PNM-9084QZ / PNM-9084QZ1 / PNM-C16083RVQ / PNM-C32083RVQ, rozmiar gwintu montażowego: PF 1 1/2"" męski, aluminium, kolor biały")</f>
        <v>Zaślepka wisząca do PNM-9084QZ / PNM-9084QZ1 / PNM-C16083RVQ / PNM-C32083RVQ, rozmiar gwintu montażowego: PF 1 1/2" męski, aluminium, kolor biały</v>
      </c>
      <c r="K552" s="43" t="s">
        <v>21</v>
      </c>
      <c r="L552" s="44">
        <v>75.0</v>
      </c>
      <c r="M552" s="8"/>
      <c r="N552" s="45" t="s">
        <v>22</v>
      </c>
      <c r="O552" s="97"/>
      <c r="P552" s="36"/>
      <c r="Q552" s="35"/>
      <c r="R552" s="68"/>
      <c r="S552" s="68"/>
      <c r="T552" s="68"/>
      <c r="U552" s="35"/>
      <c r="V552" s="35"/>
      <c r="W552" s="35"/>
      <c r="X552" s="35"/>
      <c r="Y552" s="35"/>
      <c r="Z552" s="35"/>
      <c r="AA552" s="35"/>
      <c r="AB552" s="35"/>
      <c r="AC552" s="60"/>
      <c r="AD552" s="85"/>
      <c r="AE552" s="85"/>
      <c r="AF552" s="85"/>
      <c r="AG552" s="85"/>
      <c r="AH552" s="85"/>
      <c r="AI552" s="85"/>
      <c r="AJ552" s="85"/>
      <c r="AK552" s="85"/>
      <c r="AL552" s="85"/>
      <c r="AM552" s="85"/>
      <c r="AN552" s="85"/>
      <c r="AO552" s="85"/>
      <c r="AP552" s="85"/>
    </row>
    <row r="553" ht="79.5" customHeight="1">
      <c r="A553" s="29"/>
      <c r="B553" s="38" t="s">
        <v>23</v>
      </c>
      <c r="C553" s="39" t="s">
        <v>1572</v>
      </c>
      <c r="D553" s="40" t="s">
        <v>1573</v>
      </c>
      <c r="E553" s="118"/>
      <c r="F553" s="40"/>
      <c r="G553" s="39"/>
      <c r="H553" s="41" t="s">
        <v>79</v>
      </c>
      <c r="I553" s="48" t="s">
        <v>1574</v>
      </c>
      <c r="J553" s="42" t="str">
        <f>IFERROR(__xludf.DUMMYFUNCTION("GOOGLETRANSLATE(I553,""en"",""pl"")"),"Uchwyt ścienny w kolorze białym, zestaw 5 sztuk, kompatybilny z 
1. Bezpośredni montaż kamery
: QNV-C8083R/C9083R, XND-C6083RV/C7083RV/C8083RV/C9083RV, XNV-C6083R/C7083R/C8083R/C9083R, XND-6083RV/8083RV/9083RV, XNV-6083R/8083R/8093R/9083R, PNV-A9081R/A608"&amp;"1R/A6081R-E1T/A6081R-E2T, XNV-6083RZ/8083RZ/9083RZ itp.
2. z SBP-115PA
: XNP-6400/8250/9250, XNP-6400R/8250R/9250R, XNP-6400RW/8300RW/9300RW, XNP-C6403/C8253/C9253, XNP-C6403R/C8253R/C9253R, XNP-C6403RW/C8303RW/C9303RW, XNP-C7310R/C9310R, QNP-6250R/6320R"&amp;"
3. Adapter do zawieszania z SBP-115PFA
: SBP-099HMW/120HMW/140HMW/160HMW1/180HMW1/200HMW/215HMW/250HMW/315HMW i inne
4. Płyta montażowa
: SBD-110GP1, SBD-090GP
5. z zaślepką otworu montażowego (SBP-200C/250C/315C)
: PNM-C16013RVQ, PNM-C16083RVQ/C32083"&amp;"RVQ, PNM-9084RQZ/9085RQZ i inne")</f>
        <v>Uchwyt ścienny w kolorze białym, zestaw 5 sztuk, kompatybilny z 
1. Bezpośredni montaż kamery
: QNV-C8083R/C9083R, XND-C6083RV/C7083RV/C8083RV/C9083RV, XNV-C6083R/C7083R/C8083R/C9083R, XND-6083RV/8083RV/9083RV, XNV-6083R/8083R/8093R/9083R, PNV-A9081R/A6081R/A6081R-E1T/A6081R-E2T, XNV-6083RZ/8083RZ/9083RZ itp.
2. z SBP-115PA
: XNP-6400/8250/9250, XNP-6400R/8250R/9250R, XNP-6400RW/8300RW/9300RW, XNP-C6403/C8253/C9253, XNP-C6403R/C8253R/C9253R, XNP-C6403RW/C8303RW/C9303RW, XNP-C7310R/C9310R, QNP-6250R/6320R
3. Adapter do zawieszania z SBP-115PFA
: SBP-099HMW/120HMW/140HMW/160HMW1/180HMW1/200HMW/215HMW/250HMW/315HMW i inne
4. Płyta montażowa
: SBD-110GP1, SBD-090GP
5. z zaślepką otworu montażowego (SBP-200C/250C/315C)
: PNM-C16013RVQ, PNM-C16083RVQ/C32083RVQ, PNM-9084RQZ/9085RQZ i inne</v>
      </c>
      <c r="K553" s="43" t="s">
        <v>21</v>
      </c>
      <c r="L553" s="44">
        <v>160.0</v>
      </c>
      <c r="M553" s="8"/>
      <c r="N553" s="45" t="s">
        <v>22</v>
      </c>
      <c r="O553" s="97"/>
      <c r="P553" s="36"/>
      <c r="Q553" s="35"/>
      <c r="R553" s="68"/>
      <c r="S553" s="68"/>
      <c r="T553" s="68"/>
      <c r="U553" s="35"/>
      <c r="V553" s="35"/>
      <c r="W553" s="35"/>
      <c r="X553" s="35"/>
      <c r="Y553" s="35"/>
      <c r="Z553" s="35"/>
      <c r="AA553" s="35"/>
      <c r="AB553" s="35"/>
      <c r="AC553" s="60"/>
      <c r="AD553" s="85"/>
      <c r="AE553" s="85"/>
      <c r="AF553" s="85"/>
      <c r="AG553" s="85"/>
      <c r="AH553" s="85"/>
      <c r="AI553" s="85"/>
      <c r="AJ553" s="85"/>
      <c r="AK553" s="85"/>
      <c r="AL553" s="85"/>
      <c r="AM553" s="85"/>
      <c r="AN553" s="85"/>
      <c r="AO553" s="85"/>
      <c r="AP553" s="85"/>
    </row>
    <row r="554" ht="79.5" customHeight="1">
      <c r="A554" s="29"/>
      <c r="B554" s="38" t="s">
        <v>23</v>
      </c>
      <c r="C554" s="39" t="s">
        <v>1575</v>
      </c>
      <c r="D554" s="40" t="s">
        <v>1576</v>
      </c>
      <c r="E554" s="118"/>
      <c r="F554" s="40"/>
      <c r="G554" s="39"/>
      <c r="H554" s="41" t="s">
        <v>79</v>
      </c>
      <c r="I554" s="48" t="s">
        <v>1577</v>
      </c>
      <c r="J554" s="42" t="str">
        <f>IFERROR(__xludf.DUMMYFUNCTION("GOOGLETRANSLATE(I554,""en"",""pl"")"),"Adapter PF 1,5"" do montażu na ścianie i słupie (SBP-250WMW/SBP-400WMW) kompatybilny z SBP-180HMW1/200HMW/215HMW/250HMW/315HMW Opakowanie 3 szt.")</f>
        <v>Adapter PF 1,5" do montażu na ścianie i słupie (SBP-250WMW/SBP-400WMW) kompatybilny z SBP-180HMW1/200HMW/215HMW/250HMW/315HMW Opakowanie 3 szt.</v>
      </c>
      <c r="K554" s="43" t="s">
        <v>21</v>
      </c>
      <c r="L554" s="44">
        <v>150.0</v>
      </c>
      <c r="M554" s="8"/>
      <c r="N554" s="45" t="s">
        <v>22</v>
      </c>
      <c r="O554" s="97"/>
      <c r="P554" s="36"/>
      <c r="Q554" s="35"/>
      <c r="R554" s="68"/>
      <c r="S554" s="68"/>
      <c r="T554" s="68"/>
      <c r="U554" s="35"/>
      <c r="V554" s="35"/>
      <c r="W554" s="35"/>
      <c r="X554" s="35"/>
      <c r="Y554" s="35"/>
      <c r="Z554" s="35"/>
      <c r="AA554" s="35"/>
      <c r="AB554" s="35"/>
      <c r="AC554" s="60"/>
      <c r="AD554" s="85"/>
      <c r="AE554" s="85"/>
      <c r="AF554" s="85"/>
      <c r="AG554" s="85"/>
      <c r="AH554" s="85"/>
      <c r="AI554" s="85"/>
      <c r="AJ554" s="85"/>
      <c r="AK554" s="85"/>
      <c r="AL554" s="85"/>
      <c r="AM554" s="85"/>
      <c r="AN554" s="85"/>
      <c r="AO554" s="85"/>
      <c r="AP554" s="85"/>
    </row>
    <row r="555" ht="79.5" customHeight="1">
      <c r="A555" s="29"/>
      <c r="B555" s="38" t="s">
        <v>23</v>
      </c>
      <c r="C555" s="39" t="s">
        <v>1578</v>
      </c>
      <c r="D555" s="40" t="s">
        <v>1573</v>
      </c>
      <c r="E555" s="118"/>
      <c r="F555" s="40"/>
      <c r="G555" s="39"/>
      <c r="H555" s="41" t="s">
        <v>79</v>
      </c>
      <c r="I555" s="48" t="s">
        <v>1579</v>
      </c>
      <c r="J555" s="42" t="str">
        <f>IFERROR(__xludf.DUMMYFUNCTION("GOOGLETRANSLATE(I555,""en"",""pl"")"),"3-pinowy adapter do montażu na ścianie i słupie (SBP-250WMW/SBP-400WMW) kompatybilny z XNP-C7310R/C9310R, XNP-C6403/C8253/C9253, XNP-6400/8250/9250 opakowanie 3 szt.")</f>
        <v>3-pinowy adapter do montażu na ścianie i słupie (SBP-250WMW/SBP-400WMW) kompatybilny z XNP-C7310R/C9310R, XNP-C6403/C8253/C9253, XNP-6400/8250/9250 opakowanie 3 szt.</v>
      </c>
      <c r="K555" s="43" t="s">
        <v>21</v>
      </c>
      <c r="L555" s="44">
        <v>150.0</v>
      </c>
      <c r="M555" s="8"/>
      <c r="N555" s="45" t="s">
        <v>22</v>
      </c>
      <c r="O555" s="97"/>
      <c r="P555" s="36"/>
      <c r="Q555" s="35"/>
      <c r="R555" s="68"/>
      <c r="S555" s="68"/>
      <c r="T555" s="68"/>
      <c r="U555" s="35"/>
      <c r="V555" s="35"/>
      <c r="W555" s="35"/>
      <c r="X555" s="35"/>
      <c r="Y555" s="35"/>
      <c r="Z555" s="35"/>
      <c r="AA555" s="35"/>
      <c r="AB555" s="35"/>
      <c r="AC555" s="60"/>
      <c r="AD555" s="85"/>
      <c r="AE555" s="85"/>
      <c r="AF555" s="85"/>
      <c r="AG555" s="85"/>
      <c r="AH555" s="85"/>
      <c r="AI555" s="85"/>
      <c r="AJ555" s="85"/>
      <c r="AK555" s="85"/>
      <c r="AL555" s="85"/>
      <c r="AM555" s="85"/>
      <c r="AN555" s="85"/>
      <c r="AO555" s="85"/>
      <c r="AP555" s="85"/>
    </row>
    <row r="556" ht="79.5" customHeight="1">
      <c r="A556" s="29"/>
      <c r="B556" s="38" t="s">
        <v>23</v>
      </c>
      <c r="C556" s="39" t="s">
        <v>1580</v>
      </c>
      <c r="D556" s="40" t="s">
        <v>1532</v>
      </c>
      <c r="E556" s="118"/>
      <c r="F556" s="40"/>
      <c r="G556" s="39"/>
      <c r="H556" s="41" t="s">
        <v>79</v>
      </c>
      <c r="I556" s="48" t="s">
        <v>1581</v>
      </c>
      <c r="J556" s="42" t="str">
        <f>IFERROR(__xludf.DUMMYFUNCTION("GOOGLETRANSLATE(I556,""en"",""pl"")"),"Aluminiowy uchwyt wiszący do kamer typu „rybie oko” i „płaskie oko”. Kompatybilny z modelami XNF-8010R/8010RV/8010RVM, PNF-9010R/9010RV/9010RVM, QNE-7080RV/6080RV, kolor kości słoniowej.")</f>
        <v>Aluminiowy uchwyt wiszący do kamer typu „rybie oko” i „płaskie oko”. Kompatybilny z modelami XNF-8010R/8010RV/8010RVM, PNF-9010R/9010RV/9010RVM, QNE-7080RV/6080RV, kolor kości słoniowej.</v>
      </c>
      <c r="K556" s="43" t="s">
        <v>21</v>
      </c>
      <c r="L556" s="44">
        <v>22.0</v>
      </c>
      <c r="M556" s="8"/>
      <c r="N556" s="45" t="s">
        <v>22</v>
      </c>
      <c r="O556" s="97"/>
      <c r="P556" s="36"/>
      <c r="Q556" s="35"/>
      <c r="R556" s="68"/>
      <c r="S556" s="68"/>
      <c r="T556" s="68"/>
      <c r="U556" s="35"/>
      <c r="V556" s="35"/>
      <c r="W556" s="35"/>
      <c r="X556" s="35"/>
      <c r="Y556" s="35"/>
      <c r="Z556" s="35"/>
      <c r="AA556" s="35"/>
      <c r="AB556" s="35"/>
      <c r="AC556" s="60"/>
      <c r="AD556" s="85"/>
      <c r="AE556" s="85"/>
      <c r="AF556" s="85"/>
      <c r="AG556" s="85"/>
      <c r="AH556" s="85"/>
      <c r="AI556" s="85"/>
      <c r="AJ556" s="85"/>
      <c r="AK556" s="85"/>
      <c r="AL556" s="85"/>
      <c r="AM556" s="85"/>
      <c r="AN556" s="85"/>
      <c r="AO556" s="85"/>
      <c r="AP556" s="85"/>
    </row>
    <row r="557" ht="79.5" customHeight="1">
      <c r="A557" s="29"/>
      <c r="B557" s="38" t="s">
        <v>23</v>
      </c>
      <c r="C557" s="39" t="s">
        <v>1582</v>
      </c>
      <c r="D557" s="40" t="s">
        <v>1532</v>
      </c>
      <c r="E557" s="118"/>
      <c r="F557" s="40"/>
      <c r="G557" s="39"/>
      <c r="H557" s="41" t="s">
        <v>79</v>
      </c>
      <c r="I557" s="48" t="s">
        <v>1583</v>
      </c>
      <c r="J557" s="42" t="str">
        <f>IFERROR(__xludf.DUMMYFUNCTION("GOOGLETRANSLATE(I557,""en"",""pl"")"),"Aluminiowy uchwyt wiszący do kamer kopułkowych i wielokierunkowych. Kompatybilny z PNM-7000VD, PNV-9080R, XNV-8080R/6120/6120R/6085/6080/6080R/L6080/L6080R, XND-6085/6085V, kolor kości słoniowej.")</f>
        <v>Aluminiowy uchwyt wiszący do kamer kopułkowych i wielokierunkowych. Kompatybilny z PNM-7000VD, PNV-9080R, XNV-8080R/6120/6120R/6085/6080/6080R/L6080/L6080R, XND-6085/6085V, kolor kości słoniowej.</v>
      </c>
      <c r="K557" s="43" t="s">
        <v>21</v>
      </c>
      <c r="L557" s="44">
        <v>26.0</v>
      </c>
      <c r="M557" s="8"/>
      <c r="N557" s="45" t="s">
        <v>22</v>
      </c>
      <c r="O557" s="97"/>
      <c r="P557" s="36"/>
      <c r="Q557" s="35"/>
      <c r="R557" s="68"/>
      <c r="S557" s="68"/>
      <c r="T557" s="68"/>
      <c r="U557" s="35"/>
      <c r="V557" s="35"/>
      <c r="W557" s="35"/>
      <c r="X557" s="35"/>
      <c r="Y557" s="35"/>
      <c r="Z557" s="35"/>
      <c r="AA557" s="35"/>
      <c r="AB557" s="35"/>
      <c r="AC557" s="60"/>
      <c r="AD557" s="85"/>
      <c r="AE557" s="85"/>
      <c r="AF557" s="85"/>
      <c r="AG557" s="85"/>
      <c r="AH557" s="85"/>
      <c r="AI557" s="85"/>
      <c r="AJ557" s="85"/>
      <c r="AK557" s="85"/>
      <c r="AL557" s="85"/>
      <c r="AM557" s="85"/>
      <c r="AN557" s="85"/>
      <c r="AO557" s="85"/>
      <c r="AP557" s="85"/>
    </row>
    <row r="558" ht="79.5" customHeight="1">
      <c r="A558" s="29"/>
      <c r="B558" s="38" t="s">
        <v>23</v>
      </c>
      <c r="C558" s="39" t="s">
        <v>1584</v>
      </c>
      <c r="D558" s="40" t="s">
        <v>1532</v>
      </c>
      <c r="E558" s="118"/>
      <c r="F558" s="40"/>
      <c r="G558" s="39"/>
      <c r="H558" s="41" t="s">
        <v>79</v>
      </c>
      <c r="I558" s="48" t="s">
        <v>1585</v>
      </c>
      <c r="J558" s="42" t="str">
        <f>IFERROR(__xludf.DUMMYFUNCTION("GOOGLETRANSLATE(I558,""en"",""pl"")"),"Uchwyt wiszący ze stali nierdzewnej do kamer kopułkowych ze stali nierdzewnej. Kompatybilny z modelami XNV-8080RS/6120RS/6080RS.")</f>
        <v>Uchwyt wiszący ze stali nierdzewnej do kamer kopułkowych ze stali nierdzewnej. Kompatybilny z modelami XNV-8080RS/6120RS/6080RS.</v>
      </c>
      <c r="K558" s="43" t="s">
        <v>21</v>
      </c>
      <c r="L558" s="44">
        <v>447.0</v>
      </c>
      <c r="M558" s="8"/>
      <c r="N558" s="45" t="s">
        <v>22</v>
      </c>
      <c r="O558" s="97"/>
      <c r="P558" s="36"/>
      <c r="Q558" s="35"/>
      <c r="R558" s="68"/>
      <c r="S558" s="68"/>
      <c r="T558" s="68"/>
      <c r="U558" s="35"/>
      <c r="V558" s="35"/>
      <c r="W558" s="35"/>
      <c r="X558" s="35"/>
      <c r="Y558" s="35"/>
      <c r="Z558" s="35"/>
      <c r="AA558" s="35"/>
      <c r="AB558" s="35"/>
      <c r="AC558" s="60"/>
      <c r="AD558" s="85"/>
      <c r="AE558" s="85"/>
      <c r="AF558" s="85"/>
      <c r="AG558" s="85"/>
      <c r="AH558" s="85"/>
      <c r="AI558" s="85"/>
      <c r="AJ558" s="85"/>
      <c r="AK558" s="85"/>
      <c r="AL558" s="85"/>
      <c r="AM558" s="85"/>
      <c r="AN558" s="85"/>
      <c r="AO558" s="85"/>
      <c r="AP558" s="85"/>
    </row>
    <row r="559" ht="79.5" customHeight="1">
      <c r="A559" s="29"/>
      <c r="B559" s="38" t="s">
        <v>23</v>
      </c>
      <c r="C559" s="39" t="s">
        <v>1586</v>
      </c>
      <c r="D559" s="40" t="s">
        <v>1532</v>
      </c>
      <c r="E559" s="118"/>
      <c r="F559" s="40"/>
      <c r="G559" s="39"/>
      <c r="H559" s="41" t="s">
        <v>79</v>
      </c>
      <c r="I559" s="48" t="s">
        <v>1585</v>
      </c>
      <c r="J559" s="42" t="str">
        <f>IFERROR(__xludf.DUMMYFUNCTION("GOOGLETRANSLATE(I559,""en"",""pl"")"),"Uchwyt wiszący ze stali nierdzewnej do kamer kopułkowych ze stali nierdzewnej. Kompatybilny z modelami XNV-8080RS/6120RS/6080RS.")</f>
        <v>Uchwyt wiszący ze stali nierdzewnej do kamer kopułkowych ze stali nierdzewnej. Kompatybilny z modelami XNV-8080RS/6120RS/6080RS.</v>
      </c>
      <c r="K559" s="43" t="s">
        <v>21</v>
      </c>
      <c r="L559" s="44">
        <v>22.0</v>
      </c>
      <c r="M559" s="8"/>
      <c r="N559" s="45" t="s">
        <v>22</v>
      </c>
      <c r="O559" s="97"/>
      <c r="P559" s="36"/>
      <c r="Q559" s="35"/>
      <c r="R559" s="68"/>
      <c r="S559" s="68"/>
      <c r="T559" s="68"/>
      <c r="U559" s="35"/>
      <c r="V559" s="35"/>
      <c r="W559" s="35"/>
      <c r="X559" s="35"/>
      <c r="Y559" s="35"/>
      <c r="Z559" s="35"/>
      <c r="AA559" s="35"/>
      <c r="AB559" s="35"/>
      <c r="AC559" s="60"/>
      <c r="AD559" s="85"/>
      <c r="AE559" s="85"/>
      <c r="AF559" s="85"/>
      <c r="AG559" s="85"/>
      <c r="AH559" s="85"/>
      <c r="AI559" s="85"/>
      <c r="AJ559" s="85"/>
      <c r="AK559" s="85"/>
      <c r="AL559" s="85"/>
      <c r="AM559" s="85"/>
      <c r="AN559" s="85"/>
      <c r="AO559" s="85"/>
      <c r="AP559" s="85"/>
    </row>
    <row r="560" ht="79.5" customHeight="1">
      <c r="A560" s="29"/>
      <c r="B560" s="38" t="s">
        <v>23</v>
      </c>
      <c r="C560" s="39" t="s">
        <v>1587</v>
      </c>
      <c r="D560" s="40" t="s">
        <v>1532</v>
      </c>
      <c r="E560" s="118"/>
      <c r="F560" s="40"/>
      <c r="G560" s="39"/>
      <c r="H560" s="41" t="s">
        <v>79</v>
      </c>
      <c r="I560" s="48" t="s">
        <v>1588</v>
      </c>
      <c r="J560" s="42" t="str">
        <f>IFERROR(__xludf.DUMMYFUNCTION("GOOGLETRANSLATE(I560,""en"",""pl"")"),"Aluminiowy uchwyt wiszący do kamer kopułkowych. Kompatybilny z kamerami XNV-6011, QND-8010R/8020R/8030R/6012R/6022R/6032R, LND-6010R/6020R/6030R, QND-6012R1/6022R1, 6033R1, biały.")</f>
        <v>Aluminiowy uchwyt wiszący do kamer kopułkowych. Kompatybilny z kamerami XNV-6011, QND-8010R/8020R/8030R/6012R/6022R/6032R, LND-6010R/6020R/6030R, QND-6012R1/6022R1, 6033R1, biały.</v>
      </c>
      <c r="K560" s="43" t="s">
        <v>21</v>
      </c>
      <c r="L560" s="44">
        <v>22.0</v>
      </c>
      <c r="M560" s="8"/>
      <c r="N560" s="45" t="s">
        <v>22</v>
      </c>
      <c r="O560" s="97"/>
      <c r="P560" s="36"/>
      <c r="Q560" s="35"/>
      <c r="R560" s="68"/>
      <c r="S560" s="68"/>
      <c r="T560" s="68"/>
      <c r="U560" s="35"/>
      <c r="V560" s="35"/>
      <c r="W560" s="35"/>
      <c r="X560" s="35"/>
      <c r="Y560" s="35"/>
      <c r="Z560" s="35"/>
      <c r="AA560" s="35"/>
      <c r="AB560" s="35"/>
      <c r="AC560" s="60"/>
      <c r="AD560" s="85"/>
      <c r="AE560" s="85"/>
      <c r="AF560" s="85"/>
      <c r="AG560" s="85"/>
      <c r="AH560" s="85"/>
      <c r="AI560" s="85"/>
      <c r="AJ560" s="85"/>
      <c r="AK560" s="85"/>
      <c r="AL560" s="85"/>
      <c r="AM560" s="85"/>
      <c r="AN560" s="85"/>
      <c r="AO560" s="85"/>
      <c r="AP560" s="85"/>
    </row>
    <row r="561" ht="79.5" customHeight="1">
      <c r="A561" s="29"/>
      <c r="B561" s="38" t="s">
        <v>23</v>
      </c>
      <c r="C561" s="39" t="s">
        <v>1589</v>
      </c>
      <c r="D561" s="40" t="s">
        <v>1532</v>
      </c>
      <c r="E561" s="118"/>
      <c r="F561" s="40"/>
      <c r="G561" s="39"/>
      <c r="H561" s="41" t="s">
        <v>79</v>
      </c>
      <c r="I561" s="48" t="s">
        <v>1590</v>
      </c>
      <c r="J561" s="42" t="str">
        <f>IFERROR(__xludf.DUMMYFUNCTION("GOOGLETRANSLATE(I561,""en"",""pl"")"),"Aluminiowy uchwyt wiszący do kamer kopułkowych wewnętrznych. Kompatybilny z kamerami PND-9080R, XND-8080RV/8080R/6080/6080R/6080V/6080RV/L6080R/L6080V/L6080RV, kolor kości słoniowej.")</f>
        <v>Aluminiowy uchwyt wiszący do kamer kopułkowych wewnętrznych. Kompatybilny z kamerami PND-9080R, XND-8080RV/8080R/6080/6080R/6080V/6080RV/L6080R/L6080V/L6080RV, kolor kości słoniowej.</v>
      </c>
      <c r="K561" s="43" t="s">
        <v>21</v>
      </c>
      <c r="L561" s="44">
        <v>22.0</v>
      </c>
      <c r="M561" s="8"/>
      <c r="N561" s="45" t="s">
        <v>22</v>
      </c>
      <c r="O561" s="97"/>
      <c r="P561" s="36"/>
      <c r="Q561" s="35"/>
      <c r="R561" s="68"/>
      <c r="S561" s="68"/>
      <c r="T561" s="68"/>
      <c r="U561" s="35"/>
      <c r="V561" s="35"/>
      <c r="W561" s="35"/>
      <c r="X561" s="35"/>
      <c r="Y561" s="35"/>
      <c r="Z561" s="35"/>
      <c r="AA561" s="35"/>
      <c r="AB561" s="35"/>
      <c r="AC561" s="60"/>
      <c r="AD561" s="85"/>
      <c r="AE561" s="85"/>
      <c r="AF561" s="85"/>
      <c r="AG561" s="85"/>
      <c r="AH561" s="85"/>
      <c r="AI561" s="85"/>
      <c r="AJ561" s="85"/>
      <c r="AK561" s="85"/>
      <c r="AL561" s="85"/>
      <c r="AM561" s="85"/>
      <c r="AN561" s="85"/>
      <c r="AO561" s="85"/>
      <c r="AP561" s="85"/>
    </row>
    <row r="562" ht="79.5" customHeight="1">
      <c r="A562" s="29"/>
      <c r="B562" s="38" t="s">
        <v>23</v>
      </c>
      <c r="C562" s="39" t="s">
        <v>1591</v>
      </c>
      <c r="D562" s="40" t="s">
        <v>1532</v>
      </c>
      <c r="E562" s="118"/>
      <c r="F562" s="40"/>
      <c r="G562" s="39"/>
      <c r="H562" s="41" t="s">
        <v>79</v>
      </c>
      <c r="I562" s="48" t="s">
        <v>1592</v>
      </c>
      <c r="J562" s="42" t="str">
        <f>IFERROR(__xludf.DUMMYFUNCTION("GOOGLETRANSLATE(I562,""en"",""pl"")"),"Aluminiowy uchwyt wiszący do kamer kopułkowych wewnętrznych. Kompatybilny z kamerami PND-9080R, XND-8080RV/8080R/6080/6080R/6080V/6080RV/L6080R/L6080V/L6080RV, biały.")</f>
        <v>Aluminiowy uchwyt wiszący do kamer kopułkowych wewnętrznych. Kompatybilny z kamerami PND-9080R, XND-8080RV/8080R/6080/6080R/6080V/6080RV/L6080R/L6080V/L6080RV, biały.</v>
      </c>
      <c r="K562" s="43" t="s">
        <v>21</v>
      </c>
      <c r="L562" s="44">
        <v>19.0</v>
      </c>
      <c r="M562" s="8"/>
      <c r="N562" s="45" t="s">
        <v>22</v>
      </c>
      <c r="O562" s="97"/>
      <c r="P562" s="35"/>
      <c r="Q562" s="35"/>
      <c r="R562" s="68"/>
      <c r="S562" s="68"/>
      <c r="T562" s="68"/>
      <c r="U562" s="35"/>
      <c r="V562" s="35"/>
      <c r="W562" s="35"/>
      <c r="X562" s="35"/>
      <c r="Y562" s="35"/>
      <c r="Z562" s="35"/>
      <c r="AA562" s="35"/>
      <c r="AB562" s="35"/>
      <c r="AC562" s="101"/>
      <c r="AD562" s="98"/>
      <c r="AE562" s="98"/>
      <c r="AF562" s="98"/>
      <c r="AG562" s="98"/>
      <c r="AH562" s="98"/>
      <c r="AI562" s="98"/>
      <c r="AJ562" s="98"/>
      <c r="AK562" s="98"/>
      <c r="AL562" s="98"/>
      <c r="AM562" s="98"/>
      <c r="AN562" s="98"/>
      <c r="AO562" s="98"/>
      <c r="AP562" s="98"/>
    </row>
    <row r="563" ht="79.5" customHeight="1">
      <c r="A563" s="29"/>
      <c r="B563" s="38" t="s">
        <v>23</v>
      </c>
      <c r="C563" s="39" t="s">
        <v>1593</v>
      </c>
      <c r="D563" s="40" t="s">
        <v>1532</v>
      </c>
      <c r="E563" s="118"/>
      <c r="F563" s="40"/>
      <c r="G563" s="39"/>
      <c r="H563" s="41" t="s">
        <v>79</v>
      </c>
      <c r="I563" s="125" t="s">
        <v>1594</v>
      </c>
      <c r="J563" s="42" t="str">
        <f>IFERROR(__xludf.DUMMYFUNCTION("GOOGLETRANSLATE(I563,""en"",""pl"")"),"Aluminiowy uchwyt wiszący do kamer kopułkowych wewnętrznych. Zastępuje SBP-301HM3 i jest kompatybilny z modelami QNP-6230, XNP-6320/6321, HCP-6230/6320/6320A, SCP-3371, SNP-6320/6321/6201/5430/5321/L6233/L5233/5300, SNV-7082/7080R/7080/5080R/5080/3120, bi"&amp;"ały.")</f>
        <v>Aluminiowy uchwyt wiszący do kamer kopułkowych wewnętrznych. Zastępuje SBP-301HM3 i jest kompatybilny z modelami QNP-6230, XNP-6320/6321, HCP-6230/6320/6320A, SCP-3371, SNP-6320/6321/6201/5430/5321/L6233/L5233/5300, SNV-7082/7080R/7080/5080R/5080/3120, biały.</v>
      </c>
      <c r="K563" s="43" t="s">
        <v>21</v>
      </c>
      <c r="L563" s="44">
        <v>46.0</v>
      </c>
      <c r="M563" s="8"/>
      <c r="N563" s="45" t="s">
        <v>22</v>
      </c>
      <c r="O563" s="97"/>
      <c r="P563" s="36"/>
      <c r="Q563" s="35"/>
      <c r="R563" s="68"/>
      <c r="S563" s="68"/>
      <c r="T563" s="68"/>
      <c r="U563" s="35"/>
      <c r="V563" s="35"/>
      <c r="W563" s="35"/>
      <c r="X563" s="35"/>
      <c r="Y563" s="35"/>
      <c r="Z563" s="35"/>
      <c r="AA563" s="35"/>
      <c r="AB563" s="35"/>
      <c r="AC563" s="60"/>
      <c r="AD563" s="85"/>
      <c r="AE563" s="85"/>
      <c r="AF563" s="85"/>
      <c r="AG563" s="85"/>
      <c r="AH563" s="85"/>
      <c r="AI563" s="85"/>
      <c r="AJ563" s="85"/>
      <c r="AK563" s="85"/>
      <c r="AL563" s="85"/>
      <c r="AM563" s="85"/>
      <c r="AN563" s="85"/>
      <c r="AO563" s="85"/>
      <c r="AP563" s="85"/>
    </row>
    <row r="564" ht="79.5" customHeight="1">
      <c r="A564" s="29"/>
      <c r="B564" s="38" t="s">
        <v>23</v>
      </c>
      <c r="C564" s="39" t="s">
        <v>1595</v>
      </c>
      <c r="D564" s="40" t="s">
        <v>1532</v>
      </c>
      <c r="E564" s="118"/>
      <c r="F564" s="40"/>
      <c r="G564" s="39"/>
      <c r="H564" s="41" t="s">
        <v>79</v>
      </c>
      <c r="I564" s="125" t="s">
        <v>1596</v>
      </c>
      <c r="J564" s="42" t="str">
        <f>IFERROR(__xludf.DUMMYFUNCTION("GOOGLETRANSLATE(I564,""en"",""pl"")"),"Aluminiowy uchwyt wiszący do kamer kopułkowych zewnętrznych. Kompatybilny z modelami QNV-8080R/6082R/6082R1, LNV-6070R, biały.")</f>
        <v>Aluminiowy uchwyt wiszący do kamer kopułkowych zewnętrznych. Kompatybilny z modelami QNV-8080R/6082R/6082R1, LNV-6070R, biały.</v>
      </c>
      <c r="K564" s="43" t="s">
        <v>21</v>
      </c>
      <c r="L564" s="44">
        <v>28.0</v>
      </c>
      <c r="M564" s="8"/>
      <c r="N564" s="45" t="s">
        <v>22</v>
      </c>
      <c r="O564" s="97"/>
      <c r="P564" s="36"/>
      <c r="Q564" s="35"/>
      <c r="R564" s="68"/>
      <c r="S564" s="68"/>
      <c r="T564" s="68"/>
      <c r="U564" s="35"/>
      <c r="V564" s="35"/>
      <c r="W564" s="35"/>
      <c r="X564" s="35"/>
      <c r="Y564" s="35"/>
      <c r="Z564" s="35"/>
      <c r="AA564" s="35"/>
      <c r="AB564" s="35"/>
      <c r="AC564" s="60"/>
      <c r="AD564" s="85"/>
      <c r="AE564" s="85"/>
      <c r="AF564" s="85"/>
      <c r="AG564" s="85"/>
      <c r="AH564" s="85"/>
      <c r="AI564" s="85"/>
      <c r="AJ564" s="85"/>
      <c r="AK564" s="85"/>
      <c r="AL564" s="85"/>
      <c r="AM564" s="85"/>
      <c r="AN564" s="85"/>
      <c r="AO564" s="85"/>
      <c r="AP564" s="85"/>
    </row>
    <row r="565" ht="79.5" customHeight="1">
      <c r="A565" s="29"/>
      <c r="B565" s="38" t="s">
        <v>23</v>
      </c>
      <c r="C565" s="39" t="s">
        <v>1597</v>
      </c>
      <c r="D565" s="40" t="s">
        <v>1532</v>
      </c>
      <c r="E565" s="118"/>
      <c r="F565" s="40"/>
      <c r="G565" s="39"/>
      <c r="H565" s="41" t="s">
        <v>79</v>
      </c>
      <c r="I565" s="48" t="s">
        <v>1598</v>
      </c>
      <c r="J565" s="42" t="str">
        <f>IFERROR(__xludf.DUMMYFUNCTION("GOOGLETRANSLATE(I565,""en"",""pl"")"),"Aluminiowy uchwyt wiszący do kamer kopułkowych i PTZ. Kompatybilny z modelami XNP-6040H, QNV-7080R/6070R, HCV-7070R/6070R/6080R/6080, kolor kości słoniowej.")</f>
        <v>Aluminiowy uchwyt wiszący do kamer kopułkowych i PTZ. Kompatybilny z modelami XNP-6040H, QNV-7080R/6070R, HCV-7070R/6070R/6080R/6080, kolor kości słoniowej.</v>
      </c>
      <c r="K565" s="43" t="s">
        <v>21</v>
      </c>
      <c r="L565" s="44">
        <v>28.0</v>
      </c>
      <c r="M565" s="8"/>
      <c r="N565" s="45" t="s">
        <v>22</v>
      </c>
      <c r="O565" s="97"/>
      <c r="P565" s="36"/>
      <c r="Q565" s="35"/>
      <c r="R565" s="68"/>
      <c r="S565" s="68"/>
      <c r="T565" s="68"/>
      <c r="U565" s="35"/>
      <c r="V565" s="35"/>
      <c r="W565" s="35"/>
      <c r="X565" s="35"/>
      <c r="Y565" s="35"/>
      <c r="Z565" s="35"/>
      <c r="AA565" s="35"/>
      <c r="AB565" s="35"/>
      <c r="AC565" s="60"/>
      <c r="AD565" s="85"/>
      <c r="AE565" s="85"/>
      <c r="AF565" s="85"/>
      <c r="AG565" s="85"/>
      <c r="AH565" s="85"/>
      <c r="AI565" s="85"/>
      <c r="AJ565" s="85"/>
      <c r="AK565" s="85"/>
      <c r="AL565" s="85"/>
      <c r="AM565" s="85"/>
      <c r="AN565" s="85"/>
      <c r="AO565" s="85"/>
      <c r="AP565" s="85"/>
    </row>
    <row r="566" ht="79.5" customHeight="1">
      <c r="A566" s="29"/>
      <c r="B566" s="38" t="s">
        <v>23</v>
      </c>
      <c r="C566" s="39" t="s">
        <v>1599</v>
      </c>
      <c r="D566" s="40" t="s">
        <v>1532</v>
      </c>
      <c r="E566" s="118"/>
      <c r="F566" s="40"/>
      <c r="G566" s="39"/>
      <c r="H566" s="41" t="s">
        <v>79</v>
      </c>
      <c r="I566" s="48" t="s">
        <v>1600</v>
      </c>
      <c r="J566" s="42" t="str">
        <f>IFERROR(__xludf.DUMMYFUNCTION("GOOGLETRANSLATE(I566,""en"",""pl"")"),"Uchwyt wiszący aluminiowy, Obsługiwane produkty: PNM-9084RQZ/9084RQZ1/9085RQZ/9085RQZ1")</f>
        <v>Uchwyt wiszący aluminiowy, Obsługiwane produkty: PNM-9084RQZ/9084RQZ1/9085RQZ/9085RQZ1</v>
      </c>
      <c r="K566" s="43" t="s">
        <v>21</v>
      </c>
      <c r="L566" s="44">
        <v>70.0</v>
      </c>
      <c r="M566" s="8"/>
      <c r="N566" s="45" t="s">
        <v>22</v>
      </c>
      <c r="O566" s="97"/>
      <c r="P566" s="36"/>
      <c r="Q566" s="35"/>
      <c r="R566" s="68"/>
      <c r="S566" s="68"/>
      <c r="T566" s="68"/>
      <c r="U566" s="35"/>
      <c r="V566" s="35"/>
      <c r="W566" s="35"/>
      <c r="X566" s="35"/>
      <c r="Y566" s="35"/>
      <c r="Z566" s="35"/>
      <c r="AA566" s="35"/>
      <c r="AB566" s="35"/>
      <c r="AC566" s="60"/>
      <c r="AD566" s="85"/>
      <c r="AE566" s="85"/>
      <c r="AF566" s="85"/>
      <c r="AG566" s="85"/>
      <c r="AH566" s="85"/>
      <c r="AI566" s="85"/>
      <c r="AJ566" s="85"/>
      <c r="AK566" s="85"/>
      <c r="AL566" s="85"/>
      <c r="AM566" s="85"/>
      <c r="AN566" s="85"/>
      <c r="AO566" s="85"/>
      <c r="AP566" s="85"/>
    </row>
    <row r="567" ht="79.5" customHeight="1">
      <c r="A567" s="29"/>
      <c r="B567" s="38" t="s">
        <v>23</v>
      </c>
      <c r="C567" s="39" t="s">
        <v>1601</v>
      </c>
      <c r="D567" s="40" t="s">
        <v>1602</v>
      </c>
      <c r="E567" s="118"/>
      <c r="F567" s="40"/>
      <c r="G567" s="39"/>
      <c r="H567" s="41" t="s">
        <v>79</v>
      </c>
      <c r="I567" s="48" t="s">
        <v>1603</v>
      </c>
      <c r="J567" s="42" t="str">
        <f>IFERROR(__xludf.DUMMYFUNCTION("GOOGLETRANSLATE(I567,""en"",""pl"")"),"Zestaw 5 płyt montażowych do SBP-250WMW i SBP-400WMW zgodnych z PNM-C16013RVQ")</f>
        <v>Zestaw 5 płyt montażowych do SBP-250WMW i SBP-400WMW zgodnych z PNM-C16013RVQ</v>
      </c>
      <c r="K567" s="43" t="s">
        <v>21</v>
      </c>
      <c r="L567" s="44">
        <v>30.0</v>
      </c>
      <c r="M567" s="8"/>
      <c r="N567" s="45" t="s">
        <v>22</v>
      </c>
      <c r="O567" s="97"/>
      <c r="P567" s="36"/>
      <c r="Q567" s="35"/>
      <c r="R567" s="68"/>
      <c r="S567" s="68"/>
      <c r="T567" s="68"/>
      <c r="U567" s="35"/>
      <c r="V567" s="35"/>
      <c r="W567" s="35"/>
      <c r="X567" s="35"/>
      <c r="Y567" s="35"/>
      <c r="Z567" s="35"/>
      <c r="AA567" s="35"/>
      <c r="AB567" s="35"/>
      <c r="AC567" s="60"/>
      <c r="AD567" s="85"/>
      <c r="AE567" s="85"/>
      <c r="AF567" s="85"/>
      <c r="AG567" s="85"/>
      <c r="AH567" s="85"/>
      <c r="AI567" s="85"/>
      <c r="AJ567" s="85"/>
      <c r="AK567" s="85"/>
      <c r="AL567" s="85"/>
      <c r="AM567" s="85"/>
      <c r="AN567" s="85"/>
      <c r="AO567" s="85"/>
      <c r="AP567" s="85"/>
    </row>
    <row r="568" ht="79.5" customHeight="1">
      <c r="A568" s="29"/>
      <c r="B568" s="38" t="s">
        <v>23</v>
      </c>
      <c r="C568" s="39" t="s">
        <v>1604</v>
      </c>
      <c r="D568" s="40" t="s">
        <v>1602</v>
      </c>
      <c r="E568" s="118"/>
      <c r="F568" s="40"/>
      <c r="G568" s="39"/>
      <c r="H568" s="41" t="s">
        <v>79</v>
      </c>
      <c r="I568" s="48" t="s">
        <v>1605</v>
      </c>
      <c r="J568" s="42" t="str">
        <f>IFERROR(__xludf.DUMMYFUNCTION("GOOGLETRANSLATE(I568,""en"",""pl"")"),"Zestaw 5 płyt montażowych do SBP-250WMW i SBP-400WMW, kompatybilnych z PNM-C16083RVQ/C32083RVQ, PNM-8082VT, PNM-9084QZ/QZ1, PNM-9022V, PNM-C9022RV, PNM-9031RV")</f>
        <v>Zestaw 5 płyt montażowych do SBP-250WMW i SBP-400WMW, kompatybilnych z PNM-C16083RVQ/C32083RVQ, PNM-8082VT, PNM-9084QZ/QZ1, PNM-9022V, PNM-C9022RV, PNM-9031RV</v>
      </c>
      <c r="K568" s="43" t="s">
        <v>21</v>
      </c>
      <c r="L568" s="44">
        <v>30.0</v>
      </c>
      <c r="M568" s="8"/>
      <c r="N568" s="45" t="s">
        <v>22</v>
      </c>
      <c r="O568" s="97"/>
      <c r="P568" s="36"/>
      <c r="Q568" s="35"/>
      <c r="R568" s="68"/>
      <c r="S568" s="68"/>
      <c r="T568" s="68"/>
      <c r="U568" s="35"/>
      <c r="V568" s="35"/>
      <c r="W568" s="35"/>
      <c r="X568" s="35"/>
      <c r="Y568" s="35"/>
      <c r="Z568" s="35"/>
      <c r="AA568" s="35"/>
      <c r="AB568" s="35"/>
      <c r="AC568" s="60"/>
      <c r="AD568" s="85"/>
      <c r="AE568" s="85"/>
      <c r="AF568" s="85"/>
      <c r="AG568" s="85"/>
      <c r="AH568" s="85"/>
      <c r="AI568" s="85"/>
      <c r="AJ568" s="85"/>
      <c r="AK568" s="85"/>
      <c r="AL568" s="85"/>
      <c r="AM568" s="85"/>
      <c r="AN568" s="85"/>
      <c r="AO568" s="85"/>
      <c r="AP568" s="85"/>
    </row>
    <row r="569" ht="79.5" customHeight="1">
      <c r="A569" s="29"/>
      <c r="B569" s="38" t="s">
        <v>23</v>
      </c>
      <c r="C569" s="39" t="s">
        <v>1606</v>
      </c>
      <c r="D569" s="40" t="s">
        <v>1602</v>
      </c>
      <c r="E569" s="118"/>
      <c r="F569" s="40"/>
      <c r="G569" s="39"/>
      <c r="H569" s="41" t="s">
        <v>79</v>
      </c>
      <c r="I569" s="48" t="s">
        <v>1607</v>
      </c>
      <c r="J569" s="42" t="str">
        <f>IFERROR(__xludf.DUMMYFUNCTION("GOOGLETRANSLATE(I569,""en"",""pl"")"),"Zestaw 5 płyt montażowych do SBP-250WMW i SBP-400WMW, kompatybilnych z PNM-9084RQZ/RQZ1, PNM-9085RQZ/RQZ1")</f>
        <v>Zestaw 5 płyt montażowych do SBP-250WMW i SBP-400WMW, kompatybilnych z PNM-9084RQZ/RQZ1, PNM-9085RQZ/RQZ1</v>
      </c>
      <c r="K569" s="43" t="s">
        <v>21</v>
      </c>
      <c r="L569" s="44">
        <v>30.0</v>
      </c>
      <c r="M569" s="8"/>
      <c r="N569" s="45" t="s">
        <v>22</v>
      </c>
      <c r="O569" s="97"/>
      <c r="P569" s="36"/>
      <c r="Q569" s="35"/>
      <c r="R569" s="68"/>
      <c r="S569" s="68"/>
      <c r="T569" s="68"/>
      <c r="U569" s="35"/>
      <c r="V569" s="35"/>
      <c r="W569" s="35"/>
      <c r="X569" s="35"/>
      <c r="Y569" s="35"/>
      <c r="Z569" s="35"/>
      <c r="AA569" s="35"/>
      <c r="AB569" s="35"/>
      <c r="AC569" s="60"/>
      <c r="AD569" s="85"/>
      <c r="AE569" s="85"/>
      <c r="AF569" s="85"/>
      <c r="AG569" s="85"/>
      <c r="AH569" s="85"/>
      <c r="AI569" s="85"/>
      <c r="AJ569" s="85"/>
      <c r="AK569" s="85"/>
      <c r="AL569" s="85"/>
      <c r="AM569" s="85"/>
      <c r="AN569" s="85"/>
      <c r="AO569" s="85"/>
      <c r="AP569" s="85"/>
    </row>
    <row r="570" ht="79.5" customHeight="1">
      <c r="A570" s="29"/>
      <c r="B570" s="38" t="s">
        <v>23</v>
      </c>
      <c r="C570" s="39" t="s">
        <v>1608</v>
      </c>
      <c r="D570" s="40" t="s">
        <v>1609</v>
      </c>
      <c r="E570" s="118"/>
      <c r="F570" s="40"/>
      <c r="G570" s="39"/>
      <c r="H570" s="41" t="s">
        <v>79</v>
      </c>
      <c r="I570" s="48" t="s">
        <v>1610</v>
      </c>
      <c r="J570" s="42" t="str">
        <f>IFERROR(__xludf.DUMMYFUNCTION("GOOGLETRANSLATE(I570,""en"",""pl"")"),"Plastikowy uchwyt ścienny do kamer kopułkowych wewnętrznych. Kompatybilny z kamerami XND-6010/6020R/8020R/8030R/8040R, QND-7080R/7030R/7020R/7010R/6070R/6030R/6020R/6010R, HCD-7020R/7030R/7070R, SND-L6083R/L6014R/L6013R/L6013/L6012/L5083R/L5013, SCD-6083R"&amp;"/6023R/6021/5083R/5083/5082/5080, kolor kości słoniowej.")</f>
        <v>Plastikowy uchwyt ścienny do kamer kopułkowych wewnętrznych. Kompatybilny z kamerami XND-6010/6020R/8020R/8030R/8040R, QND-7080R/7030R/7020R/7010R/6070R/6030R/6020R/6010R, HCD-7020R/7030R/7070R, SND-L6083R/L6014R/L6013R/L6013/L6012/L5083R/L5013, SCD-6083R/6023R/6021/5083R/5083/5082/5080, kolor kości słoniowej.</v>
      </c>
      <c r="K570" s="43" t="s">
        <v>21</v>
      </c>
      <c r="L570" s="44">
        <v>19.0</v>
      </c>
      <c r="M570" s="8"/>
      <c r="N570" s="45" t="s">
        <v>22</v>
      </c>
      <c r="O570" s="97"/>
      <c r="P570" s="36"/>
      <c r="Q570" s="35"/>
      <c r="R570" s="68"/>
      <c r="S570" s="68"/>
      <c r="T570" s="68"/>
      <c r="U570" s="35"/>
      <c r="V570" s="35"/>
      <c r="W570" s="35"/>
      <c r="X570" s="35"/>
      <c r="Y570" s="35"/>
      <c r="Z570" s="35"/>
      <c r="AA570" s="35"/>
      <c r="AB570" s="35"/>
      <c r="AC570" s="60"/>
      <c r="AD570" s="85"/>
      <c r="AE570" s="85"/>
      <c r="AF570" s="85"/>
      <c r="AG570" s="85"/>
      <c r="AH570" s="85"/>
      <c r="AI570" s="85"/>
      <c r="AJ570" s="85"/>
      <c r="AK570" s="85"/>
      <c r="AL570" s="85"/>
      <c r="AM570" s="85"/>
      <c r="AN570" s="85"/>
      <c r="AO570" s="85"/>
      <c r="AP570" s="85"/>
    </row>
    <row r="571" ht="79.5" customHeight="1">
      <c r="A571" s="29"/>
      <c r="B571" s="38" t="s">
        <v>23</v>
      </c>
      <c r="C571" s="39" t="s">
        <v>1611</v>
      </c>
      <c r="D571" s="40" t="s">
        <v>1609</v>
      </c>
      <c r="E571" s="118"/>
      <c r="F571" s="40"/>
      <c r="G571" s="39"/>
      <c r="H571" s="41" t="s">
        <v>79</v>
      </c>
      <c r="I571" s="48" t="s">
        <v>1612</v>
      </c>
      <c r="J571" s="42" t="str">
        <f>IFERROR(__xludf.DUMMYFUNCTION("GOOGLETRANSLATE(I571,""en"",""pl"")"),"Plastikowy uchwyt ścienny do kamer kopułkowych i typu „rybie oko” do użytku wewnątrz pomieszczeń. Kompatybilny z modelami QNF-8010/9010, QND-8080R/8010R/8011/8020R/8021/8030R/6082R/6011/6012R/6021/6022R/6032R, QND-6012R1/6022R1/6032R1/6082R1, biały.")</f>
        <v>Plastikowy uchwyt ścienny do kamer kopułkowych i typu „rybie oko” do użytku wewnątrz pomieszczeń. Kompatybilny z modelami QNF-8010/9010, QND-8080R/8010R/8011/8020R/8021/8030R/6082R/6011/6012R/6021/6022R/6032R, QND-6012R1/6022R1/6032R1/6082R1, biały.</v>
      </c>
      <c r="K571" s="43" t="s">
        <v>21</v>
      </c>
      <c r="L571" s="44">
        <v>19.0</v>
      </c>
      <c r="M571" s="8"/>
      <c r="N571" s="45" t="s">
        <v>22</v>
      </c>
      <c r="O571" s="97"/>
      <c r="P571" s="36"/>
      <c r="Q571" s="35"/>
      <c r="R571" s="68"/>
      <c r="S571" s="68"/>
      <c r="T571" s="68"/>
      <c r="U571" s="35"/>
      <c r="V571" s="35"/>
      <c r="W571" s="35"/>
      <c r="X571" s="35"/>
      <c r="Y571" s="35"/>
      <c r="Z571" s="35"/>
      <c r="AA571" s="35"/>
      <c r="AB571" s="35"/>
      <c r="AC571" s="60"/>
      <c r="AD571" s="85"/>
      <c r="AE571" s="85"/>
      <c r="AF571" s="85"/>
      <c r="AG571" s="85"/>
      <c r="AH571" s="85"/>
      <c r="AI571" s="85"/>
      <c r="AJ571" s="85"/>
      <c r="AK571" s="85"/>
      <c r="AL571" s="85"/>
      <c r="AM571" s="85"/>
      <c r="AN571" s="85"/>
      <c r="AO571" s="85"/>
      <c r="AP571" s="85"/>
    </row>
    <row r="572" ht="79.5" customHeight="1">
      <c r="A572" s="29"/>
      <c r="B572" s="38" t="s">
        <v>23</v>
      </c>
      <c r="C572" s="39" t="s">
        <v>1613</v>
      </c>
      <c r="D572" s="40" t="s">
        <v>1609</v>
      </c>
      <c r="E572" s="118"/>
      <c r="F572" s="40"/>
      <c r="G572" s="39"/>
      <c r="H572" s="41" t="s">
        <v>19</v>
      </c>
      <c r="I572" s="48" t="s">
        <v>1614</v>
      </c>
      <c r="J572" s="42" t="str">
        <f>IFERROR(__xludf.DUMMYFUNCTION("GOOGLETRANSLATE(I572,""en"",""pl"")"),"Uchwyt ścienny z tworzywa sztucznego/aluminium (korpus - aluminium, pokrywa - poliwęglan), biały, kompatybilny z QNV-C8011R/C8012/C9011R, QND-6011/6021/8011/8021, QND-6012R/22R, QND-6072R/82R, QNE-8011R/21R, LND-6012R/22R/72R, QND-7012R/22R/82R")</f>
        <v>Uchwyt ścienny z tworzywa sztucznego/aluminium (korpus - aluminium, pokrywa - poliwęglan), biały, kompatybilny z QNV-C8011R/C8012/C9011R, QND-6011/6021/8011/8021, QND-6012R/22R, QND-6072R/82R, QNE-8011R/21R, LND-6012R/22R/72R, QND-7012R/22R/82R</v>
      </c>
      <c r="K572" s="43" t="s">
        <v>21</v>
      </c>
      <c r="L572" s="44">
        <v>65.0</v>
      </c>
      <c r="M572" s="8"/>
      <c r="N572" s="45" t="s">
        <v>22</v>
      </c>
      <c r="O572" s="97"/>
      <c r="P572" s="35"/>
      <c r="Q572" s="35"/>
      <c r="R572" s="68"/>
      <c r="S572" s="68"/>
      <c r="T572" s="68"/>
      <c r="U572" s="35"/>
      <c r="V572" s="35"/>
      <c r="W572" s="35"/>
      <c r="X572" s="35"/>
      <c r="Y572" s="35"/>
      <c r="Z572" s="35"/>
      <c r="AA572" s="35"/>
      <c r="AB572" s="35"/>
      <c r="AC572" s="101"/>
      <c r="AD572" s="98"/>
      <c r="AE572" s="98"/>
      <c r="AF572" s="98"/>
      <c r="AG572" s="98"/>
      <c r="AH572" s="98"/>
      <c r="AI572" s="98"/>
      <c r="AJ572" s="98"/>
      <c r="AK572" s="98"/>
      <c r="AL572" s="98"/>
      <c r="AM572" s="98"/>
      <c r="AN572" s="98"/>
      <c r="AO572" s="98"/>
      <c r="AP572" s="98"/>
    </row>
    <row r="573" ht="79.5" customHeight="1">
      <c r="A573" s="29"/>
      <c r="B573" s="38" t="s">
        <v>23</v>
      </c>
      <c r="C573" s="39" t="s">
        <v>1615</v>
      </c>
      <c r="D573" s="40" t="s">
        <v>1609</v>
      </c>
      <c r="E573" s="118"/>
      <c r="F573" s="40"/>
      <c r="G573" s="39"/>
      <c r="H573" s="41" t="s">
        <v>79</v>
      </c>
      <c r="I573" s="48" t="s">
        <v>1616</v>
      </c>
      <c r="J573" s="42" t="str">
        <f>IFERROR(__xludf.DUMMYFUNCTION("GOOGLETRANSLATE(I573,""en"",""pl"")"),"Plastikowo-aluminiowy uchwyt ścienny do zewnętrznych kamer kopułkowych. Kompatybilny z kamerami XNV-6010/6020R/8020R/8030R/8040R, QNV-6010R/6020R/6030R/6070R/7010R/7020R/7030R/7080R, HCV-6080R/6080/6070R/7010R/7020R/7030R/7070R, SNV-L5083R/L6083R, SCV-508"&amp;"2/5082R/5083/5083R/5085/6023R/6083R oraz w kolorze kości słoniowej.")</f>
        <v>Plastikowo-aluminiowy uchwyt ścienny do zewnętrznych kamer kopułkowych. Kompatybilny z kamerami XNV-6010/6020R/8020R/8030R/8040R, QNV-6010R/6020R/6030R/6070R/7010R/7020R/7030R/7080R, HCV-6080R/6080/6070R/7010R/7020R/7030R/7070R, SNV-L5083R/L6083R, SCV-5082/5082R/5083/5083R/5085/6023R/6083R oraz w kolorze kości słoniowej.</v>
      </c>
      <c r="K573" s="43" t="s">
        <v>21</v>
      </c>
      <c r="L573" s="44">
        <v>34.0</v>
      </c>
      <c r="M573" s="8"/>
      <c r="N573" s="45" t="s">
        <v>22</v>
      </c>
      <c r="O573" s="97"/>
      <c r="P573" s="35"/>
      <c r="Q573" s="35"/>
      <c r="R573" s="68"/>
      <c r="S573" s="68"/>
      <c r="T573" s="68"/>
      <c r="U573" s="35"/>
      <c r="V573" s="35"/>
      <c r="W573" s="35"/>
      <c r="X573" s="35"/>
      <c r="Y573" s="35"/>
      <c r="Z573" s="35"/>
      <c r="AA573" s="35"/>
      <c r="AB573" s="35"/>
      <c r="AC573" s="101"/>
      <c r="AD573" s="98"/>
      <c r="AE573" s="98"/>
      <c r="AF573" s="98"/>
      <c r="AG573" s="98"/>
      <c r="AH573" s="98"/>
      <c r="AI573" s="98"/>
      <c r="AJ573" s="98"/>
      <c r="AK573" s="98"/>
      <c r="AL573" s="98"/>
      <c r="AM573" s="98"/>
      <c r="AN573" s="98"/>
      <c r="AO573" s="98"/>
      <c r="AP573" s="98"/>
    </row>
    <row r="574" ht="79.5" customHeight="1">
      <c r="A574" s="29"/>
      <c r="B574" s="38" t="s">
        <v>23</v>
      </c>
      <c r="C574" s="39" t="s">
        <v>1617</v>
      </c>
      <c r="D574" s="40" t="s">
        <v>1609</v>
      </c>
      <c r="E574" s="118"/>
      <c r="F574" s="40"/>
      <c r="G574" s="39"/>
      <c r="H574" s="41" t="s">
        <v>79</v>
      </c>
      <c r="I574" s="48" t="s">
        <v>1618</v>
      </c>
      <c r="J574" s="42" t="str">
        <f>IFERROR(__xludf.DUMMYFUNCTION("GOOGLETRANSLATE(I574,""en"",""pl"")"),"Plastikowo-aluminiowy uchwyt ścienny do zewnętrznych kamer kopułkowych. Kompatybilny z kamerami QNV-6012R/6022R/6032R/6082R/8010R/8020R/8030R/8080R, biały.")</f>
        <v>Plastikowo-aluminiowy uchwyt ścienny do zewnętrznych kamer kopułkowych. Kompatybilny z kamerami QNV-6012R/6022R/6032R/6082R/8010R/8020R/8030R/8080R, biały.</v>
      </c>
      <c r="K574" s="43" t="s">
        <v>21</v>
      </c>
      <c r="L574" s="44">
        <v>34.0</v>
      </c>
      <c r="M574" s="8"/>
      <c r="N574" s="45" t="s">
        <v>22</v>
      </c>
      <c r="O574" s="97"/>
      <c r="P574" s="35"/>
      <c r="Q574" s="35"/>
      <c r="R574" s="68"/>
      <c r="S574" s="68"/>
      <c r="T574" s="68"/>
      <c r="U574" s="35"/>
      <c r="V574" s="35"/>
      <c r="W574" s="35"/>
      <c r="X574" s="35"/>
      <c r="Y574" s="35"/>
      <c r="Z574" s="35"/>
      <c r="AA574" s="35"/>
      <c r="AB574" s="35"/>
      <c r="AC574" s="101"/>
      <c r="AD574" s="98"/>
      <c r="AE574" s="98"/>
      <c r="AF574" s="98"/>
      <c r="AG574" s="98"/>
      <c r="AH574" s="98"/>
      <c r="AI574" s="98"/>
      <c r="AJ574" s="98"/>
      <c r="AK574" s="98"/>
      <c r="AL574" s="98"/>
      <c r="AM574" s="98"/>
      <c r="AN574" s="98"/>
      <c r="AO574" s="98"/>
      <c r="AP574" s="98"/>
    </row>
    <row r="575" ht="79.5" customHeight="1">
      <c r="A575" s="29"/>
      <c r="B575" s="38" t="s">
        <v>23</v>
      </c>
      <c r="C575" s="39" t="s">
        <v>1619</v>
      </c>
      <c r="D575" s="40" t="s">
        <v>1609</v>
      </c>
      <c r="E575" s="118"/>
      <c r="F575" s="40"/>
      <c r="G575" s="39"/>
      <c r="H575" s="41" t="s">
        <v>79</v>
      </c>
      <c r="I575" s="48" t="s">
        <v>1616</v>
      </c>
      <c r="J575" s="42" t="str">
        <f>IFERROR(__xludf.DUMMYFUNCTION("GOOGLETRANSLATE(I575,""en"",""pl"")"),"Plastikowo-aluminiowy uchwyt ścienny do zewnętrznych kamer kopułkowych. Kompatybilny z kamerami XNV-6010/6020R/8020R/8030R/8040R, QNV-6010R/6020R/6030R/6070R/7010R/7020R/7030R/7080R, HCV-6080R/6080/6070R/7010R/7020R/7030R/7070R, SNV-L5083R/L6083R, SCV-508"&amp;"2/5082R/5083/5083R/5085/6023R/6083R oraz w kolorze kości słoniowej.")</f>
        <v>Plastikowo-aluminiowy uchwyt ścienny do zewnętrznych kamer kopułkowych. Kompatybilny z kamerami XNV-6010/6020R/8020R/8030R/8040R, QNV-6010R/6020R/6030R/6070R/7010R/7020R/7030R/7080R, HCV-6080R/6080/6070R/7010R/7020R/7030R/7070R, SNV-L5083R/L6083R, SCV-5082/5082R/5083/5083R/5085/6023R/6083R oraz w kolorze kości słoniowej.</v>
      </c>
      <c r="K575" s="43" t="s">
        <v>21</v>
      </c>
      <c r="L575" s="44">
        <v>60.0</v>
      </c>
      <c r="M575" s="8"/>
      <c r="N575" s="45" t="s">
        <v>22</v>
      </c>
      <c r="O575" s="97"/>
      <c r="P575" s="36"/>
      <c r="Q575" s="35"/>
      <c r="R575" s="68"/>
      <c r="S575" s="68"/>
      <c r="T575" s="68"/>
      <c r="U575" s="35"/>
      <c r="V575" s="35"/>
      <c r="W575" s="35"/>
      <c r="X575" s="35"/>
      <c r="Y575" s="35"/>
      <c r="Z575" s="35"/>
      <c r="AA575" s="35"/>
      <c r="AB575" s="35"/>
      <c r="AC575" s="60"/>
      <c r="AD575" s="85"/>
      <c r="AE575" s="85"/>
      <c r="AF575" s="85"/>
      <c r="AG575" s="85"/>
      <c r="AH575" s="85"/>
      <c r="AI575" s="85"/>
      <c r="AJ575" s="85"/>
      <c r="AK575" s="85"/>
      <c r="AL575" s="85"/>
      <c r="AM575" s="85"/>
      <c r="AN575" s="85"/>
      <c r="AO575" s="85"/>
      <c r="AP575" s="85"/>
    </row>
    <row r="576" ht="79.5" customHeight="1">
      <c r="A576" s="29"/>
      <c r="B576" s="38" t="s">
        <v>23</v>
      </c>
      <c r="C576" s="39" t="s">
        <v>1620</v>
      </c>
      <c r="D576" s="40" t="s">
        <v>1609</v>
      </c>
      <c r="E576" s="118"/>
      <c r="F576" s="40"/>
      <c r="G576" s="39"/>
      <c r="H576" s="41" t="s">
        <v>79</v>
      </c>
      <c r="I576" s="48" t="s">
        <v>1621</v>
      </c>
      <c r="J576" s="42" t="str">
        <f>IFERROR(__xludf.DUMMYFUNCTION("GOOGLETRANSLATE(I576,""en"",""pl"")"),"Plastikowo-aluminiowy uchwyt ścienny do zewnętrznych kamer kopułkowych. Kompatybilny z kamerami QNV-6012R/6022R/6032R/6082R/6082R1/8010R/8020R/8030R/8080R, biały.")</f>
        <v>Plastikowo-aluminiowy uchwyt ścienny do zewnętrznych kamer kopułkowych. Kompatybilny z kamerami QNV-6012R/6022R/6032R/6082R/6082R1/8010R/8020R/8030R/8080R, biały.</v>
      </c>
      <c r="K576" s="43" t="s">
        <v>21</v>
      </c>
      <c r="L576" s="44">
        <v>60.0</v>
      </c>
      <c r="M576" s="8"/>
      <c r="N576" s="45" t="s">
        <v>22</v>
      </c>
      <c r="O576" s="97"/>
      <c r="P576" s="36"/>
      <c r="Q576" s="35"/>
      <c r="R576" s="68"/>
      <c r="S576" s="68"/>
      <c r="T576" s="68"/>
      <c r="U576" s="35"/>
      <c r="V576" s="35"/>
      <c r="W576" s="35"/>
      <c r="X576" s="35"/>
      <c r="Y576" s="35"/>
      <c r="Z576" s="35"/>
      <c r="AA576" s="35"/>
      <c r="AB576" s="35"/>
      <c r="AC576" s="60"/>
      <c r="AD576" s="85"/>
      <c r="AE576" s="85"/>
      <c r="AF576" s="85"/>
      <c r="AG576" s="85"/>
      <c r="AH576" s="85"/>
      <c r="AI576" s="85"/>
      <c r="AJ576" s="85"/>
      <c r="AK576" s="85"/>
      <c r="AL576" s="85"/>
      <c r="AM576" s="85"/>
      <c r="AN576" s="85"/>
      <c r="AO576" s="85"/>
      <c r="AP576" s="85"/>
    </row>
    <row r="577" ht="79.5" customHeight="1">
      <c r="A577" s="29"/>
      <c r="B577" s="38" t="s">
        <v>23</v>
      </c>
      <c r="C577" s="39" t="s">
        <v>1622</v>
      </c>
      <c r="D577" s="40" t="s">
        <v>1609</v>
      </c>
      <c r="E577" s="118"/>
      <c r="F577" s="40"/>
      <c r="G577" s="39"/>
      <c r="H577" s="41" t="s">
        <v>79</v>
      </c>
      <c r="I577" s="48" t="s">
        <v>1623</v>
      </c>
      <c r="J577" s="42" t="str">
        <f>IFERROR(__xludf.DUMMYFUNCTION("GOOGLETRANSLATE(I577,""en"",""pl"")"),"Aluminiowy uchwyt ścienny do zewnętrznych kamer kopułkowych, biały.
Kompatybilny z XNP-9300RW/9250R/9250/8300RW/8250R/8250/6400RW/6400R/6400")</f>
        <v>Aluminiowy uchwyt ścienny do zewnętrznych kamer kopułkowych, biały.
Kompatybilny z XNP-9300RW/9250R/9250/8300RW/8250R/8250/6400RW/6400R/6400</v>
      </c>
      <c r="K577" s="43" t="s">
        <v>21</v>
      </c>
      <c r="L577" s="44">
        <v>140.0</v>
      </c>
      <c r="M577" s="8"/>
      <c r="N577" s="45" t="s">
        <v>22</v>
      </c>
      <c r="O577" s="97"/>
      <c r="P577" s="35"/>
      <c r="Q577" s="35"/>
      <c r="R577" s="68"/>
      <c r="S577" s="68"/>
      <c r="T577" s="68"/>
      <c r="U577" s="35"/>
      <c r="V577" s="35"/>
      <c r="W577" s="35"/>
      <c r="X577" s="35"/>
      <c r="Y577" s="35"/>
      <c r="Z577" s="35"/>
      <c r="AA577" s="35"/>
      <c r="AB577" s="35"/>
      <c r="AC577" s="101"/>
      <c r="AD577" s="98"/>
      <c r="AE577" s="98"/>
      <c r="AF577" s="98"/>
      <c r="AG577" s="98"/>
      <c r="AH577" s="98"/>
      <c r="AI577" s="98"/>
      <c r="AJ577" s="98"/>
      <c r="AK577" s="98"/>
      <c r="AL577" s="98"/>
      <c r="AM577" s="98"/>
      <c r="AN577" s="98"/>
      <c r="AO577" s="98"/>
      <c r="AP577" s="98"/>
    </row>
    <row r="578" ht="79.5" customHeight="1">
      <c r="A578" s="29"/>
      <c r="B578" s="38" t="s">
        <v>23</v>
      </c>
      <c r="C578" s="39" t="s">
        <v>1624</v>
      </c>
      <c r="D578" s="40" t="s">
        <v>1609</v>
      </c>
      <c r="E578" s="118"/>
      <c r="F578" s="40"/>
      <c r="G578" s="39"/>
      <c r="H578" s="41" t="s">
        <v>79</v>
      </c>
      <c r="I578" s="48" t="s">
        <v>1625</v>
      </c>
      <c r="J578" s="42" t="str">
        <f>IFERROR(__xludf.DUMMYFUNCTION("GOOGLETRANSLATE(I578,""en"",""pl"")"),"Uchwyt ścienny i słupkowy do kamery LPR (TNO-7180RLP) z szybką migawką globalną (pasek stalowy sprzedawany oddzielnie)")</f>
        <v>Uchwyt ścienny i słupkowy do kamery LPR (TNO-7180RLP) z szybką migawką globalną (pasek stalowy sprzedawany oddzielnie)</v>
      </c>
      <c r="K578" s="43" t="s">
        <v>21</v>
      </c>
      <c r="L578" s="44">
        <v>150.0</v>
      </c>
      <c r="M578" s="8"/>
      <c r="N578" s="45" t="s">
        <v>22</v>
      </c>
      <c r="O578" s="97"/>
      <c r="P578" s="36"/>
      <c r="Q578" s="35"/>
      <c r="R578" s="68"/>
      <c r="S578" s="68"/>
      <c r="T578" s="68"/>
      <c r="U578" s="35"/>
      <c r="V578" s="35"/>
      <c r="W578" s="35"/>
      <c r="X578" s="35"/>
      <c r="Y578" s="35"/>
      <c r="Z578" s="35"/>
      <c r="AA578" s="35"/>
      <c r="AB578" s="35"/>
      <c r="AC578" s="60"/>
      <c r="AD578" s="85"/>
      <c r="AE578" s="85"/>
      <c r="AF578" s="85"/>
      <c r="AG578" s="85"/>
      <c r="AH578" s="85"/>
      <c r="AI578" s="85"/>
      <c r="AJ578" s="85"/>
      <c r="AK578" s="85"/>
      <c r="AL578" s="85"/>
      <c r="AM578" s="85"/>
      <c r="AN578" s="85"/>
      <c r="AO578" s="85"/>
      <c r="AP578" s="85"/>
    </row>
    <row r="579" ht="79.5" customHeight="1">
      <c r="A579" s="29"/>
      <c r="B579" s="38" t="s">
        <v>23</v>
      </c>
      <c r="C579" s="39" t="s">
        <v>1626</v>
      </c>
      <c r="D579" s="40" t="s">
        <v>1627</v>
      </c>
      <c r="E579" s="118"/>
      <c r="F579" s="40"/>
      <c r="G579" s="39"/>
      <c r="H579" s="41" t="s">
        <v>79</v>
      </c>
      <c r="I579" s="48" t="s">
        <v>1628</v>
      </c>
      <c r="J579" s="42" t="str">
        <f>IFERROR(__xludf.DUMMYFUNCTION("GOOGLETRANSLATE(I579,""en"",""pl"")"),"Zestaw montażowy do TNV-C8014RM i TNV-C8034RM, zawiera płytkę montażową i adapter M12 do RJ45")</f>
        <v>Zestaw montażowy do TNV-C8014RM i TNV-C8034RM, zawiera płytkę montażową i adapter M12 do RJ45</v>
      </c>
      <c r="K579" s="43" t="s">
        <v>21</v>
      </c>
      <c r="L579" s="44">
        <v>80.0</v>
      </c>
      <c r="M579" s="8"/>
      <c r="N579" s="45" t="s">
        <v>22</v>
      </c>
      <c r="O579" s="97"/>
      <c r="P579" s="36"/>
      <c r="Q579" s="35"/>
      <c r="R579" s="68"/>
      <c r="S579" s="68"/>
      <c r="T579" s="68"/>
      <c r="U579" s="35"/>
      <c r="V579" s="35"/>
      <c r="W579" s="35"/>
      <c r="X579" s="35"/>
      <c r="Y579" s="35"/>
      <c r="Z579" s="35"/>
      <c r="AA579" s="35"/>
      <c r="AB579" s="35"/>
      <c r="AC579" s="60"/>
      <c r="AD579" s="85"/>
      <c r="AE579" s="85"/>
      <c r="AF579" s="85"/>
      <c r="AG579" s="85"/>
      <c r="AH579" s="85"/>
      <c r="AI579" s="85"/>
      <c r="AJ579" s="85"/>
      <c r="AK579" s="85"/>
      <c r="AL579" s="85"/>
      <c r="AM579" s="85"/>
      <c r="AN579" s="85"/>
      <c r="AO579" s="85"/>
      <c r="AP579" s="85"/>
    </row>
    <row r="580" ht="79.5" customHeight="1">
      <c r="A580" s="29"/>
      <c r="B580" s="38" t="s">
        <v>23</v>
      </c>
      <c r="C580" s="39" t="s">
        <v>1629</v>
      </c>
      <c r="D580" s="40" t="s">
        <v>1630</v>
      </c>
      <c r="E580" s="118"/>
      <c r="F580" s="40"/>
      <c r="G580" s="39"/>
      <c r="H580" s="41" t="s">
        <v>79</v>
      </c>
      <c r="I580" s="48" t="s">
        <v>1631</v>
      </c>
      <c r="J580" s="42" t="str">
        <f>IFERROR(__xludf.DUMMYFUNCTION("GOOGLETRANSLATE(I580,""en"",""pl"")"),"Płyta adaptera do podwójnych, ośmiokątnych 4"" i kwadratowych 4"" kompatybilna z QNV-6082R/6082R1/6084R/7082R/6072R/6072R1/7082R/8080R, XNP-6040HW, ACV-8080R/8081R, ANV-L6082R/7082R, QNV-C9083R/C8083R/C6083R")</f>
        <v>Płyta adaptera do podwójnych, ośmiokątnych 4" i kwadratowych 4" kompatybilna z QNV-6082R/6082R1/6084R/7082R/6072R/6072R1/7082R/8080R, XNP-6040HW, ACV-8080R/8081R, ANV-L6082R/7082R, QNV-C9083R/C8083R/C6083R</v>
      </c>
      <c r="K580" s="43" t="s">
        <v>21</v>
      </c>
      <c r="L580" s="44">
        <v>30.0</v>
      </c>
      <c r="M580" s="8"/>
      <c r="N580" s="45" t="s">
        <v>22</v>
      </c>
      <c r="O580" s="97"/>
      <c r="P580" s="35"/>
      <c r="Q580" s="35"/>
      <c r="R580" s="68"/>
      <c r="S580" s="68"/>
      <c r="T580" s="68"/>
      <c r="U580" s="35"/>
      <c r="V580" s="35"/>
      <c r="W580" s="35"/>
      <c r="X580" s="35"/>
      <c r="Y580" s="35"/>
      <c r="Z580" s="35"/>
      <c r="AA580" s="35"/>
      <c r="AB580" s="35"/>
      <c r="AC580" s="101"/>
      <c r="AD580" s="98"/>
      <c r="AE580" s="98"/>
      <c r="AF580" s="98"/>
      <c r="AG580" s="98"/>
      <c r="AH580" s="98"/>
      <c r="AI580" s="98"/>
      <c r="AJ580" s="98"/>
      <c r="AK580" s="98"/>
      <c r="AL580" s="98"/>
      <c r="AM580" s="98"/>
      <c r="AN580" s="98"/>
      <c r="AO580" s="98"/>
      <c r="AP580" s="98"/>
    </row>
    <row r="581" ht="79.5" customHeight="1">
      <c r="A581" s="29"/>
      <c r="B581" s="38" t="s">
        <v>23</v>
      </c>
      <c r="C581" s="39" t="s">
        <v>1632</v>
      </c>
      <c r="D581" s="40" t="s">
        <v>1633</v>
      </c>
      <c r="E581" s="118"/>
      <c r="F581" s="40"/>
      <c r="G581" s="39"/>
      <c r="H581" s="41" t="s">
        <v>79</v>
      </c>
      <c r="I581" s="48" t="s">
        <v>1634</v>
      </c>
      <c r="J581" s="42" t="str">
        <f>IFERROR(__xludf.DUMMYFUNCTION("GOOGLETRANSLATE(I581,""en"",""pl"")"),"Adapter PTZ. Kompatybilny z XNP-6400RW, XNP-8300RW, XNP-9300RW")</f>
        <v>Adapter PTZ. Kompatybilny z XNP-6400RW, XNP-8300RW, XNP-9300RW</v>
      </c>
      <c r="K581" s="43" t="s">
        <v>21</v>
      </c>
      <c r="L581" s="44">
        <v>70.0</v>
      </c>
      <c r="M581" s="8"/>
      <c r="N581" s="45" t="s">
        <v>22</v>
      </c>
      <c r="O581" s="97"/>
      <c r="P581" s="36"/>
      <c r="Q581" s="35"/>
      <c r="R581" s="68"/>
      <c r="S581" s="68"/>
      <c r="T581" s="68"/>
      <c r="U581" s="35"/>
      <c r="V581" s="35"/>
      <c r="W581" s="35"/>
      <c r="X581" s="35"/>
      <c r="Y581" s="35"/>
      <c r="Z581" s="35"/>
      <c r="AA581" s="35"/>
      <c r="AB581" s="35"/>
      <c r="AC581" s="60"/>
      <c r="AD581" s="85"/>
      <c r="AE581" s="85"/>
      <c r="AF581" s="85"/>
      <c r="AG581" s="85"/>
      <c r="AH581" s="85"/>
      <c r="AI581" s="85"/>
      <c r="AJ581" s="85"/>
      <c r="AK581" s="85"/>
      <c r="AL581" s="85"/>
      <c r="AM581" s="85"/>
      <c r="AN581" s="85"/>
      <c r="AO581" s="85"/>
      <c r="AP581" s="85"/>
    </row>
    <row r="582" ht="79.5" customHeight="1">
      <c r="A582" s="29"/>
      <c r="B582" s="38" t="s">
        <v>23</v>
      </c>
      <c r="C582" s="39" t="s">
        <v>1635</v>
      </c>
      <c r="D582" s="40" t="s">
        <v>1636</v>
      </c>
      <c r="E582" s="118"/>
      <c r="F582" s="40"/>
      <c r="G582" s="39"/>
      <c r="H582" s="41" t="s">
        <v>79</v>
      </c>
      <c r="I582" s="48" t="s">
        <v>1637</v>
      </c>
      <c r="J582" s="42" t="str">
        <f>IFERROR(__xludf.DUMMYFUNCTION("GOOGLETRANSLATE(I582,""en"",""pl"")"),"Pasek montażowy ze stali nierdzewnej (2 szt.) do montażu na ścianie/słupie: Długość: 600 mm (23,6 cala), Szerokość: 12,6 mm (0,5 cala)")</f>
        <v>Pasek montażowy ze stali nierdzewnej (2 szt.) do montażu na ścianie/słupie: Długość: 600 mm (23,6 cala), Szerokość: 12,6 mm (0,5 cala)</v>
      </c>
      <c r="K582" s="43" t="s">
        <v>21</v>
      </c>
      <c r="L582" s="44">
        <v>30.0</v>
      </c>
      <c r="M582" s="8"/>
      <c r="N582" s="45" t="s">
        <v>22</v>
      </c>
      <c r="O582" s="97"/>
      <c r="P582" s="36"/>
      <c r="Q582" s="35"/>
      <c r="R582" s="68"/>
      <c r="S582" s="68"/>
      <c r="T582" s="68"/>
      <c r="U582" s="35"/>
      <c r="V582" s="35"/>
      <c r="W582" s="35"/>
      <c r="X582" s="35"/>
      <c r="Y582" s="35"/>
      <c r="Z582" s="35"/>
      <c r="AA582" s="35"/>
      <c r="AB582" s="35"/>
      <c r="AC582" s="60"/>
      <c r="AD582" s="85"/>
      <c r="AE582" s="85"/>
      <c r="AF582" s="85"/>
      <c r="AG582" s="85"/>
      <c r="AH582" s="85"/>
      <c r="AI582" s="85"/>
      <c r="AJ582" s="85"/>
      <c r="AK582" s="85"/>
      <c r="AL582" s="85"/>
      <c r="AM582" s="85"/>
      <c r="AN582" s="85"/>
      <c r="AO582" s="85"/>
      <c r="AP582" s="85"/>
    </row>
    <row r="583" ht="79.5" customHeight="1">
      <c r="A583" s="29"/>
      <c r="B583" s="38" t="s">
        <v>23</v>
      </c>
      <c r="C583" s="39" t="s">
        <v>1638</v>
      </c>
      <c r="D583" s="40" t="s">
        <v>1639</v>
      </c>
      <c r="E583" s="118"/>
      <c r="F583" s="40"/>
      <c r="G583" s="39"/>
      <c r="H583" s="41" t="s">
        <v>79</v>
      </c>
      <c r="I583" s="48" t="s">
        <v>1640</v>
      </c>
      <c r="J583" s="42" t="str">
        <f>IFERROR(__xludf.DUMMYFUNCTION("GOOGLETRANSLATE(I583,""en"",""pl"")"),"Adapter do otworu na przewód, aluminium, wymiary: 54,1 x 43,5 x 40 mm (2,13 x 1,72 x 1,57 cala), waga: 27 g (0,06 funta), otwór na przewód: 19,1 mm (3/4 cala) (M25), kolor biały, kompatybilny z QNV-C8083R/C9083R, XNO-C6083R/C7083R/C8083R/C9083R, PNM-C1601"&amp;"3RVQ")</f>
        <v>Adapter do otworu na przewód, aluminium, wymiary: 54,1 x 43,5 x 40 mm (2,13 x 1,72 x 1,57 cala), waga: 27 g (0,06 funta), otwór na przewód: 19,1 mm (3/4 cala) (M25), kolor biały, kompatybilny z QNV-C8083R/C9083R, XNO-C6083R/C7083R/C8083R/C9083R, PNM-C16013RVQ</v>
      </c>
      <c r="K583" s="43" t="s">
        <v>21</v>
      </c>
      <c r="L583" s="44">
        <v>20.0</v>
      </c>
      <c r="M583" s="8"/>
      <c r="N583" s="45" t="s">
        <v>22</v>
      </c>
      <c r="O583" s="97"/>
      <c r="P583" s="36"/>
      <c r="Q583" s="35"/>
      <c r="R583" s="68"/>
      <c r="S583" s="68"/>
      <c r="T583" s="68"/>
      <c r="U583" s="35"/>
      <c r="V583" s="35"/>
      <c r="W583" s="35"/>
      <c r="X583" s="35"/>
      <c r="Y583" s="35"/>
      <c r="Z583" s="35"/>
      <c r="AA583" s="35"/>
      <c r="AB583" s="35"/>
      <c r="AC583" s="60"/>
      <c r="AD583" s="85"/>
      <c r="AE583" s="85"/>
      <c r="AF583" s="85"/>
      <c r="AG583" s="85"/>
      <c r="AH583" s="85"/>
      <c r="AI583" s="85"/>
      <c r="AJ583" s="85"/>
      <c r="AK583" s="85"/>
      <c r="AL583" s="85"/>
      <c r="AM583" s="85"/>
      <c r="AN583" s="85"/>
      <c r="AO583" s="85"/>
      <c r="AP583" s="85"/>
    </row>
    <row r="584" ht="79.5" customHeight="1">
      <c r="A584" s="29"/>
      <c r="B584" s="38" t="s">
        <v>23</v>
      </c>
      <c r="C584" s="39" t="s">
        <v>1641</v>
      </c>
      <c r="D584" s="40" t="s">
        <v>1636</v>
      </c>
      <c r="E584" s="118"/>
      <c r="F584" s="40"/>
      <c r="G584" s="39"/>
      <c r="H584" s="41" t="s">
        <v>79</v>
      </c>
      <c r="I584" s="48" t="s">
        <v>1642</v>
      </c>
      <c r="J584" s="42" t="str">
        <f>IFERROR(__xludf.DUMMYFUNCTION("GOOGLETRANSLATE(I584,""en"",""pl"")"),"Pasek montażowy ze stali nierdzewnej (2 szt.) do montażu na słupie ściennym: Długość: 1500 mm (59,1 cala), Szerokość: 12,6 mm (0,5 cala)")</f>
        <v>Pasek montażowy ze stali nierdzewnej (2 szt.) do montażu na słupie ściennym: Długość: 1500 mm (59,1 cala), Szerokość: 12,6 mm (0,5 cala)</v>
      </c>
      <c r="K584" s="43" t="s">
        <v>21</v>
      </c>
      <c r="L584" s="44">
        <v>40.0</v>
      </c>
      <c r="M584" s="8"/>
      <c r="N584" s="45" t="s">
        <v>22</v>
      </c>
      <c r="O584" s="97"/>
      <c r="P584" s="36"/>
      <c r="Q584" s="35"/>
      <c r="R584" s="68"/>
      <c r="S584" s="68"/>
      <c r="T584" s="68"/>
      <c r="U584" s="35"/>
      <c r="V584" s="35"/>
      <c r="W584" s="35"/>
      <c r="X584" s="35"/>
      <c r="Y584" s="35"/>
      <c r="Z584" s="35"/>
      <c r="AA584" s="35"/>
      <c r="AB584" s="35"/>
      <c r="AC584" s="60"/>
      <c r="AD584" s="85"/>
      <c r="AE584" s="85"/>
      <c r="AF584" s="85"/>
      <c r="AG584" s="85"/>
      <c r="AH584" s="85"/>
      <c r="AI584" s="85"/>
      <c r="AJ584" s="85"/>
      <c r="AK584" s="85"/>
      <c r="AL584" s="85"/>
      <c r="AM584" s="85"/>
      <c r="AN584" s="85"/>
      <c r="AO584" s="85"/>
      <c r="AP584" s="85"/>
    </row>
    <row r="585" ht="79.5" customHeight="1">
      <c r="A585" s="29"/>
      <c r="B585" s="38" t="s">
        <v>23</v>
      </c>
      <c r="C585" s="39" t="s">
        <v>1643</v>
      </c>
      <c r="D585" s="40" t="s">
        <v>1609</v>
      </c>
      <c r="E585" s="118"/>
      <c r="F585" s="40"/>
      <c r="G585" s="39"/>
      <c r="H585" s="41" t="s">
        <v>79</v>
      </c>
      <c r="I585" s="48" t="s">
        <v>1644</v>
      </c>
      <c r="J585" s="42" t="str">
        <f>IFERROR(__xludf.DUMMYFUNCTION("GOOGLETRANSLATE(I585,""en"",""pl"")"),"Uchwyt ścienny do kamer przeciwwybuchowych, kompatybilny z TNO-6322ER, TNU-6322E i TNU-6322ER")</f>
        <v>Uchwyt ścienny do kamer przeciwwybuchowych, kompatybilny z TNO-6322ER, TNU-6322E i TNU-6322ER</v>
      </c>
      <c r="K585" s="43" t="s">
        <v>21</v>
      </c>
      <c r="L585" s="44">
        <v>1076.0</v>
      </c>
      <c r="M585" s="8"/>
      <c r="N585" s="45" t="s">
        <v>22</v>
      </c>
      <c r="O585" s="97"/>
      <c r="P585" s="35"/>
      <c r="Q585" s="35"/>
      <c r="R585" s="68"/>
      <c r="S585" s="68"/>
      <c r="T585" s="68"/>
      <c r="U585" s="35"/>
      <c r="V585" s="35"/>
      <c r="W585" s="35"/>
      <c r="X585" s="35"/>
      <c r="Y585" s="35"/>
      <c r="Z585" s="35"/>
      <c r="AA585" s="35"/>
      <c r="AB585" s="35"/>
      <c r="AC585" s="101"/>
      <c r="AD585" s="98"/>
      <c r="AE585" s="98"/>
      <c r="AF585" s="98"/>
      <c r="AG585" s="98"/>
      <c r="AH585" s="98"/>
      <c r="AI585" s="98"/>
      <c r="AJ585" s="98"/>
      <c r="AK585" s="98"/>
      <c r="AL585" s="98"/>
      <c r="AM585" s="98"/>
      <c r="AN585" s="98"/>
      <c r="AO585" s="98"/>
      <c r="AP585" s="98"/>
    </row>
    <row r="586" ht="79.5" customHeight="1">
      <c r="A586" s="29"/>
      <c r="B586" s="38" t="s">
        <v>23</v>
      </c>
      <c r="C586" s="39" t="s">
        <v>1645</v>
      </c>
      <c r="D586" s="40" t="s">
        <v>1609</v>
      </c>
      <c r="E586" s="118"/>
      <c r="F586" s="40"/>
      <c r="G586" s="39"/>
      <c r="H586" s="41" t="s">
        <v>79</v>
      </c>
      <c r="I586" s="48" t="s">
        <v>1646</v>
      </c>
      <c r="J586" s="42" t="str">
        <f>IFERROR(__xludf.DUMMYFUNCTION("GOOGLETRANSLATE(I586,""en"",""pl"")"),"Uchwyt ścienny typu „gęsia szyja”. Kompatybilny z modelami XNP-6371RH/6370RH/6320H, SHP-3701H, SCP-3430H/2430H/3370TH/3370H/2370TH/2370H/3250H/2250H/3120VH, SNP-5430H/6320H/6320RH/5200H/3302H/6321H/5321H/L6233H/L5233H/L6233RHH/3371TH/3371H/3120VH. Wszystk"&amp;"ie uchwyty wiszące. Kolor kości słoniowej.")</f>
        <v>Uchwyt ścienny typu „gęsia szyja”. Kompatybilny z modelami XNP-6371RH/6370RH/6320H, SHP-3701H, SCP-3430H/2430H/3370TH/3370H/2370TH/2370H/3250H/2250H/3120VH, SNP-5430H/6320H/6320RH/5200H/3302H/6321H/5321H/L6233H/L5233H/L6233RHH/3371TH/3371H/3120VH. Wszystkie uchwyty wiszące. Kolor kości słoniowej.</v>
      </c>
      <c r="K586" s="43" t="s">
        <v>21</v>
      </c>
      <c r="L586" s="44">
        <v>48.0</v>
      </c>
      <c r="M586" s="8"/>
      <c r="N586" s="45" t="s">
        <v>22</v>
      </c>
      <c r="O586" s="97"/>
      <c r="P586" s="36"/>
      <c r="Q586" s="35"/>
      <c r="R586" s="68"/>
      <c r="S586" s="68"/>
      <c r="T586" s="68"/>
      <c r="U586" s="35"/>
      <c r="V586" s="35"/>
      <c r="W586" s="35"/>
      <c r="X586" s="35"/>
      <c r="Y586" s="35"/>
      <c r="Z586" s="35"/>
      <c r="AA586" s="35"/>
      <c r="AB586" s="35"/>
      <c r="AC586" s="60"/>
      <c r="AD586" s="85"/>
      <c r="AE586" s="85"/>
      <c r="AF586" s="85"/>
      <c r="AG586" s="85"/>
      <c r="AH586" s="85"/>
      <c r="AI586" s="85"/>
      <c r="AJ586" s="85"/>
      <c r="AK586" s="85"/>
      <c r="AL586" s="85"/>
      <c r="AM586" s="85"/>
      <c r="AN586" s="85"/>
      <c r="AO586" s="85"/>
      <c r="AP586" s="85"/>
    </row>
    <row r="587" ht="79.5" customHeight="1">
      <c r="A587" s="29"/>
      <c r="B587" s="38" t="s">
        <v>23</v>
      </c>
      <c r="C587" s="39" t="s">
        <v>1647</v>
      </c>
      <c r="D587" s="40" t="s">
        <v>1609</v>
      </c>
      <c r="E587" s="118"/>
      <c r="F587" s="40"/>
      <c r="G587" s="39"/>
      <c r="H587" s="41" t="s">
        <v>79</v>
      </c>
      <c r="I587" s="48" t="s">
        <v>1648</v>
      </c>
      <c r="J587" s="42" t="str">
        <f>IFERROR(__xludf.DUMMYFUNCTION("GOOGLETRANSLATE(I587,""en"",""pl"")"),"Uchwyt ścienny typu „gęsia szyja”. Kompatybilny z XNP-6371RH/6370RH/6320H, SHP-3701H, SCP-3430H/2430H/3370TH/3370H/2370TH/2370H/3250H/2250H/3120VH, SNP-5430H/6320H/6320RH/5200H/3302H/6321H/5321H/L6233H/L5233H/L6233RHH/3371TH/3371H/3120VH, QNV-6012R1/6022R"&amp;"1/6032R1/6082R1, QND-6012R1/6022R1/6032R1/6082R1, Wszystkie uchwyty wiszące, białe")</f>
        <v>Uchwyt ścienny typu „gęsia szyja”. Kompatybilny z XNP-6371RH/6370RH/6320H, SHP-3701H, SCP-3430H/2430H/3370TH/3370H/2370TH/2370H/3250H/2250H/3120VH, SNP-5430H/6320H/6320RH/5200H/3302H/6321H/5321H/L6233H/L5233H/L6233RHH/3371TH/3371H/3120VH, QNV-6012R1/6022R1/6032R1/6082R1, QND-6012R1/6022R1/6032R1/6082R1, Wszystkie uchwyty wiszące, białe</v>
      </c>
      <c r="K587" s="43" t="s">
        <v>21</v>
      </c>
      <c r="L587" s="44">
        <v>48.0</v>
      </c>
      <c r="M587" s="8"/>
      <c r="N587" s="45" t="s">
        <v>22</v>
      </c>
      <c r="O587" s="97"/>
      <c r="P587" s="36"/>
      <c r="Q587" s="35"/>
      <c r="R587" s="68"/>
      <c r="S587" s="68"/>
      <c r="T587" s="68"/>
      <c r="U587" s="35"/>
      <c r="V587" s="35"/>
      <c r="W587" s="35"/>
      <c r="X587" s="35"/>
      <c r="Y587" s="35"/>
      <c r="Z587" s="35"/>
      <c r="AA587" s="35"/>
      <c r="AB587" s="35"/>
      <c r="AC587" s="60"/>
      <c r="AD587" s="85"/>
      <c r="AE587" s="85"/>
      <c r="AF587" s="85"/>
      <c r="AG587" s="85"/>
      <c r="AH587" s="85"/>
      <c r="AI587" s="85"/>
      <c r="AJ587" s="85"/>
      <c r="AK587" s="85"/>
      <c r="AL587" s="85"/>
      <c r="AM587" s="85"/>
      <c r="AN587" s="85"/>
      <c r="AO587" s="85"/>
      <c r="AP587" s="85"/>
    </row>
    <row r="588" ht="79.5" customHeight="1">
      <c r="A588" s="29"/>
      <c r="B588" s="38" t="s">
        <v>23</v>
      </c>
      <c r="C588" s="39" t="s">
        <v>1649</v>
      </c>
      <c r="D588" s="40" t="s">
        <v>1650</v>
      </c>
      <c r="E588" s="118"/>
      <c r="F588" s="40"/>
      <c r="G588" s="39"/>
      <c r="H588" s="41" t="s">
        <v>79</v>
      </c>
      <c r="I588" s="48" t="s">
        <v>1651</v>
      </c>
      <c r="J588" s="42" t="str">
        <f>IFERROR(__xludf.DUMMYFUNCTION("GOOGLETRANSLATE(I588,""en"",""pl"")"),"Uchwyt ścienny ze stali nierdzewnej typu „gęsia szyja”. Kompatybilny z kamerami XNP-6320HS, XNV-6080RS/8080RS/6120RS (do kamer kopułkowych należy dokupić osobną nasadkę SBP-300HMS6).")</f>
        <v>Uchwyt ścienny ze stali nierdzewnej typu „gęsia szyja”. Kompatybilny z kamerami XNP-6320HS, XNV-6080RS/8080RS/6120RS (do kamer kopułkowych należy dokupić osobną nasadkę SBP-300HMS6).</v>
      </c>
      <c r="K588" s="43" t="s">
        <v>21</v>
      </c>
      <c r="L588" s="44">
        <v>600.0</v>
      </c>
      <c r="M588" s="8"/>
      <c r="N588" s="45" t="s">
        <v>22</v>
      </c>
      <c r="O588" s="97"/>
      <c r="P588" s="35"/>
      <c r="Q588" s="35"/>
      <c r="R588" s="68"/>
      <c r="S588" s="68"/>
      <c r="T588" s="68"/>
      <c r="U588" s="35"/>
      <c r="V588" s="35"/>
      <c r="W588" s="35"/>
      <c r="X588" s="35"/>
      <c r="Y588" s="35"/>
      <c r="Z588" s="35"/>
      <c r="AA588" s="35"/>
      <c r="AB588" s="35"/>
      <c r="AC588" s="101"/>
      <c r="AD588" s="98"/>
      <c r="AE588" s="98"/>
      <c r="AF588" s="98"/>
      <c r="AG588" s="98"/>
      <c r="AH588" s="98"/>
      <c r="AI588" s="98"/>
      <c r="AJ588" s="98"/>
      <c r="AK588" s="98"/>
      <c r="AL588" s="98"/>
      <c r="AM588" s="98"/>
      <c r="AN588" s="98"/>
      <c r="AO588" s="98"/>
      <c r="AP588" s="98"/>
    </row>
    <row r="589" ht="79.5" customHeight="1">
      <c r="A589" s="29"/>
      <c r="B589" s="38" t="s">
        <v>23</v>
      </c>
      <c r="C589" s="39" t="s">
        <v>1652</v>
      </c>
      <c r="D589" s="40" t="s">
        <v>1609</v>
      </c>
      <c r="E589" s="118"/>
      <c r="F589" s="40"/>
      <c r="G589" s="39"/>
      <c r="H589" s="41" t="s">
        <v>79</v>
      </c>
      <c r="I589" s="48" t="s">
        <v>1653</v>
      </c>
      <c r="J589" s="42" t="str">
        <f>IFERROR(__xludf.DUMMYFUNCTION("GOOGLETRANSLATE(I589,""en"",""pl"")"),"Uchwyt ścienny, kompatybilny z SCP-3430H/2430H, SCP-3370TH/3370H, SCP-2370TH/2370H, SCP-3250H/2250H, SCP-3120VH, SNP-5430H/6320H/6320RH, SNP-5200H/3302H, SNP-6321H/5321H/SNP-L6233H/L5233H/L6233RHH/SNP-3371TH/3371H, SNP-3120VH, Wszystkie wielkie litery z w"&amp;"yjątkiem SBP-329HM, SHP-3701H")</f>
        <v>Uchwyt ścienny, kompatybilny z SCP-3430H/2430H, SCP-3370TH/3370H, SCP-2370TH/2370H, SCP-3250H/2250H, SCP-3120VH, SNP-5430H/6320H/6320RH, SNP-5200H/3302H, SNP-6321H/5321H/SNP-L6233H/L5233H/L6233RHH/SNP-3371TH/3371H, SNP-3120VH, Wszystkie wielkie litery z wyjątkiem SBP-329HM, SHP-3701H</v>
      </c>
      <c r="K589" s="43" t="s">
        <v>21</v>
      </c>
      <c r="L589" s="44">
        <v>51.0</v>
      </c>
      <c r="M589" s="8"/>
      <c r="N589" s="45" t="s">
        <v>22</v>
      </c>
      <c r="O589" s="97"/>
      <c r="P589" s="36"/>
      <c r="Q589" s="35"/>
      <c r="R589" s="68"/>
      <c r="S589" s="68"/>
      <c r="T589" s="68"/>
      <c r="U589" s="35"/>
      <c r="V589" s="35"/>
      <c r="W589" s="35"/>
      <c r="X589" s="35"/>
      <c r="Y589" s="35"/>
      <c r="Z589" s="35"/>
      <c r="AA589" s="35"/>
      <c r="AB589" s="35"/>
      <c r="AC589" s="60"/>
      <c r="AD589" s="85"/>
      <c r="AE589" s="85"/>
      <c r="AF589" s="85"/>
      <c r="AG589" s="85"/>
      <c r="AH589" s="85"/>
      <c r="AI589" s="85"/>
      <c r="AJ589" s="85"/>
      <c r="AK589" s="85"/>
      <c r="AL589" s="85"/>
      <c r="AM589" s="85"/>
      <c r="AN589" s="85"/>
      <c r="AO589" s="85"/>
      <c r="AP589" s="85"/>
    </row>
    <row r="590" ht="79.5" customHeight="1">
      <c r="A590" s="29"/>
      <c r="B590" s="38" t="s">
        <v>23</v>
      </c>
      <c r="C590" s="39" t="s">
        <v>1654</v>
      </c>
      <c r="D590" s="40" t="s">
        <v>1609</v>
      </c>
      <c r="E590" s="118"/>
      <c r="F590" s="40"/>
      <c r="G590" s="39"/>
      <c r="H590" s="41" t="s">
        <v>79</v>
      </c>
      <c r="I590" s="48" t="s">
        <v>1655</v>
      </c>
      <c r="J590" s="42" t="str">
        <f>IFERROR(__xludf.DUMMYFUNCTION("GOOGLETRANSLATE(I590,""en"",""pl"")"),"Uchwyt ścienny aluminiowy kompatybilny z modelami XNV-6081/XNV-8081/XND-6081V /XND-8081V, QNV-6012R1/6022R1/6032R1/6082R1, QND-6012R1/6022R1/6032R1/6082R1 oraz białymi nakładkami wiszącymi, biały")</f>
        <v>Uchwyt ścienny aluminiowy kompatybilny z modelami XNV-6081/XNV-8081/XND-6081V /XND-8081V, QNV-6012R1/6022R1/6032R1/6082R1, QND-6012R1/6022R1/6032R1/6082R1 oraz białymi nakładkami wiszącymi, biały</v>
      </c>
      <c r="K590" s="43" t="s">
        <v>21</v>
      </c>
      <c r="L590" s="44">
        <v>56.0</v>
      </c>
      <c r="M590" s="8"/>
      <c r="N590" s="45" t="s">
        <v>22</v>
      </c>
      <c r="O590" s="97"/>
      <c r="P590" s="36"/>
      <c r="Q590" s="35"/>
      <c r="R590" s="68"/>
      <c r="S590" s="68"/>
      <c r="T590" s="68"/>
      <c r="U590" s="35"/>
      <c r="V590" s="35"/>
      <c r="W590" s="35"/>
      <c r="X590" s="35"/>
      <c r="Y590" s="35"/>
      <c r="Z590" s="35"/>
      <c r="AA590" s="35"/>
      <c r="AB590" s="35"/>
      <c r="AC590" s="60"/>
      <c r="AD590" s="85"/>
      <c r="AE590" s="85"/>
      <c r="AF590" s="85"/>
      <c r="AG590" s="85"/>
      <c r="AH590" s="85"/>
      <c r="AI590" s="85"/>
      <c r="AJ590" s="85"/>
      <c r="AK590" s="85"/>
      <c r="AL590" s="85"/>
      <c r="AM590" s="85"/>
      <c r="AN590" s="85"/>
      <c r="AO590" s="85"/>
      <c r="AP590" s="85"/>
    </row>
    <row r="591" ht="79.5" customHeight="1">
      <c r="A591" s="29"/>
      <c r="B591" s="38" t="s">
        <v>23</v>
      </c>
      <c r="C591" s="39" t="s">
        <v>1656</v>
      </c>
      <c r="D591" s="40" t="s">
        <v>1657</v>
      </c>
      <c r="E591" s="118"/>
      <c r="F591" s="40"/>
      <c r="G591" s="39"/>
      <c r="H591" s="41" t="s">
        <v>79</v>
      </c>
      <c r="I591" s="48" t="s">
        <v>1658</v>
      </c>
      <c r="J591" s="42" t="str">
        <f>IFERROR(__xludf.DUMMYFUNCTION("GOOGLETRANSLATE(I591,""en"",""pl"")"),"Uchwyt ścienny ze stali nierdzewnej do kamer PTZ XNP-6320HS i kopułkowych XNV-6080RS, XNV-8080RS, XNV-6120RS (do kamer kopułkowych należy dokupić osobną nasadkę SBP-300HMS6)")</f>
        <v>Uchwyt ścienny ze stali nierdzewnej do kamer PTZ XNP-6320HS i kopułkowych XNV-6080RS, XNV-8080RS, XNV-6120RS (do kamer kopułkowych należy dokupić osobną nasadkę SBP-300HMS6)</v>
      </c>
      <c r="K591" s="43" t="s">
        <v>21</v>
      </c>
      <c r="L591" s="44">
        <v>625.0</v>
      </c>
      <c r="M591" s="8"/>
      <c r="N591" s="45" t="s">
        <v>22</v>
      </c>
      <c r="O591" s="97"/>
      <c r="P591" s="36"/>
      <c r="Q591" s="35"/>
      <c r="R591" s="68"/>
      <c r="S591" s="68"/>
      <c r="T591" s="68"/>
      <c r="U591" s="35"/>
      <c r="V591" s="35"/>
      <c r="W591" s="35"/>
      <c r="X591" s="35"/>
      <c r="Y591" s="35"/>
      <c r="Z591" s="35"/>
      <c r="AA591" s="35"/>
      <c r="AB591" s="35"/>
      <c r="AC591" s="60"/>
      <c r="AD591" s="85"/>
      <c r="AE591" s="85"/>
      <c r="AF591" s="85"/>
      <c r="AG591" s="85"/>
      <c r="AH591" s="85"/>
      <c r="AI591" s="85"/>
      <c r="AJ591" s="85"/>
      <c r="AK591" s="85"/>
      <c r="AL591" s="85"/>
      <c r="AM591" s="85"/>
      <c r="AN591" s="85"/>
      <c r="AO591" s="85"/>
      <c r="AP591" s="85"/>
    </row>
    <row r="592" ht="79.5" customHeight="1">
      <c r="A592" s="29"/>
      <c r="B592" s="38" t="s">
        <v>23</v>
      </c>
      <c r="C592" s="39" t="s">
        <v>1659</v>
      </c>
      <c r="D592" s="40" t="s">
        <v>1609</v>
      </c>
      <c r="E592" s="118"/>
      <c r="F592" s="40"/>
      <c r="G592" s="39"/>
      <c r="H592" s="41" t="s">
        <v>79</v>
      </c>
      <c r="I592" s="48" t="s">
        <v>1660</v>
      </c>
      <c r="J592" s="42" t="str">
        <f>IFERROR(__xludf.DUMMYFUNCTION("GOOGLETRANSLATE(I592,""en"",""pl"")"),"Aluminiowy uchwyt ścienny kompatybilny z PNM-7000VD/9000VQ/9020V/9030V/9080VQ/9081VQ/9320VQP, kość słoniowa")</f>
        <v>Aluminiowy uchwyt ścienny kompatybilny z PNM-7000VD/9000VQ/9020V/9030V/9080VQ/9081VQ/9320VQP, kość słoniowa</v>
      </c>
      <c r="K592" s="43" t="s">
        <v>21</v>
      </c>
      <c r="L592" s="44">
        <v>198.0</v>
      </c>
      <c r="M592" s="8"/>
      <c r="N592" s="45" t="s">
        <v>22</v>
      </c>
      <c r="O592" s="97"/>
      <c r="P592" s="36"/>
      <c r="Q592" s="35"/>
      <c r="R592" s="68"/>
      <c r="S592" s="68"/>
      <c r="T592" s="68"/>
      <c r="U592" s="35"/>
      <c r="V592" s="35"/>
      <c r="W592" s="35"/>
      <c r="X592" s="35"/>
      <c r="Y592" s="35"/>
      <c r="Z592" s="35"/>
      <c r="AA592" s="35"/>
      <c r="AB592" s="35"/>
      <c r="AC592" s="60"/>
      <c r="AD592" s="85"/>
      <c r="AE592" s="85"/>
      <c r="AF592" s="85"/>
      <c r="AG592" s="85"/>
      <c r="AH592" s="85"/>
      <c r="AI592" s="85"/>
      <c r="AJ592" s="85"/>
      <c r="AK592" s="85"/>
      <c r="AL592" s="85"/>
      <c r="AM592" s="85"/>
      <c r="AN592" s="85"/>
      <c r="AO592" s="85"/>
      <c r="AP592" s="85"/>
    </row>
    <row r="593" ht="79.5" customHeight="1">
      <c r="A593" s="29"/>
      <c r="B593" s="38" t="s">
        <v>23</v>
      </c>
      <c r="C593" s="39" t="s">
        <v>1661</v>
      </c>
      <c r="D593" s="40" t="s">
        <v>1662</v>
      </c>
      <c r="E593" s="118"/>
      <c r="F593" s="40"/>
      <c r="G593" s="39"/>
      <c r="H593" s="41" t="s">
        <v>19</v>
      </c>
      <c r="I593" s="48" t="s">
        <v>1663</v>
      </c>
      <c r="J593" s="42" t="str">
        <f>IFERROR(__xludf.DUMMYFUNCTION("GOOGLETRANSLATE(I593,""en"",""pl"")"),"Uchwyt ścienny i słupowy (biały) kompatybilny z SBP-200C, SBP-250C, SBP-315C, SBP-115PFA, SBP-115PA, SPO-8315, SPO-6011")</f>
        <v>Uchwyt ścienny i słupowy (biały) kompatybilny z SBP-200C, SBP-250C, SBP-315C, SBP-115PFA, SBP-115PA, SPO-8315, SPO-6011</v>
      </c>
      <c r="K593" s="43" t="s">
        <v>21</v>
      </c>
      <c r="L593" s="44">
        <v>317.0</v>
      </c>
      <c r="M593" s="8"/>
      <c r="N593" s="45" t="s">
        <v>22</v>
      </c>
      <c r="O593" s="97"/>
      <c r="P593" s="35"/>
      <c r="Q593" s="35"/>
      <c r="R593" s="68"/>
      <c r="S593" s="68"/>
      <c r="T593" s="68"/>
      <c r="U593" s="35"/>
      <c r="V593" s="35"/>
      <c r="W593" s="35"/>
      <c r="X593" s="35"/>
      <c r="Y593" s="35"/>
      <c r="Z593" s="35"/>
      <c r="AA593" s="35"/>
      <c r="AB593" s="35"/>
      <c r="AC593" s="101"/>
      <c r="AD593" s="98"/>
      <c r="AE593" s="98"/>
      <c r="AF593" s="98"/>
      <c r="AG593" s="98"/>
      <c r="AH593" s="98"/>
      <c r="AI593" s="98"/>
      <c r="AJ593" s="98"/>
      <c r="AK593" s="98"/>
      <c r="AL593" s="98"/>
      <c r="AM593" s="98"/>
      <c r="AN593" s="98"/>
      <c r="AO593" s="98"/>
      <c r="AP593" s="98"/>
    </row>
    <row r="594" ht="79.5" customHeight="1">
      <c r="A594" s="29"/>
      <c r="B594" s="38" t="s">
        <v>23</v>
      </c>
      <c r="C594" s="39" t="s">
        <v>1664</v>
      </c>
      <c r="D594" s="40" t="s">
        <v>1665</v>
      </c>
      <c r="E594" s="118"/>
      <c r="F594" s="40"/>
      <c r="G594" s="39"/>
      <c r="H594" s="41" t="s">
        <v>79</v>
      </c>
      <c r="I594" s="48" t="s">
        <v>1666</v>
      </c>
      <c r="J594" s="42" t="str">
        <f>IFERROR(__xludf.DUMMYFUNCTION("GOOGLETRANSLATE(I594,""en"",""pl"")"),"Uchwyt na słupie kompatybilny z SBU-500WM")</f>
        <v>Uchwyt na słupie kompatybilny z SBU-500WM</v>
      </c>
      <c r="K594" s="43" t="s">
        <v>21</v>
      </c>
      <c r="L594" s="44">
        <v>667.0</v>
      </c>
      <c r="M594" s="8"/>
      <c r="N594" s="45" t="s">
        <v>22</v>
      </c>
      <c r="O594" s="97"/>
      <c r="P594" s="36"/>
      <c r="Q594" s="35"/>
      <c r="R594" s="68"/>
      <c r="S594" s="68"/>
      <c r="T594" s="68"/>
      <c r="U594" s="35"/>
      <c r="V594" s="35"/>
      <c r="W594" s="35"/>
      <c r="X594" s="35"/>
      <c r="Y594" s="35"/>
      <c r="Z594" s="35"/>
      <c r="AA594" s="35"/>
      <c r="AB594" s="35"/>
      <c r="AC594" s="60"/>
      <c r="AD594" s="85"/>
      <c r="AE594" s="85"/>
      <c r="AF594" s="85"/>
      <c r="AG594" s="85"/>
      <c r="AH594" s="85"/>
      <c r="AI594" s="85"/>
      <c r="AJ594" s="85"/>
      <c r="AK594" s="85"/>
      <c r="AL594" s="85"/>
      <c r="AM594" s="85"/>
      <c r="AN594" s="85"/>
      <c r="AO594" s="85"/>
      <c r="AP594" s="85"/>
    </row>
    <row r="595" ht="79.5" customHeight="1">
      <c r="A595" s="29"/>
      <c r="B595" s="38" t="s">
        <v>23</v>
      </c>
      <c r="C595" s="39" t="s">
        <v>1667</v>
      </c>
      <c r="D595" s="40" t="s">
        <v>1668</v>
      </c>
      <c r="E595" s="118"/>
      <c r="F595" s="40"/>
      <c r="G595" s="39"/>
      <c r="H595" s="41" t="s">
        <v>79</v>
      </c>
      <c r="I595" s="48" t="s">
        <v>1669</v>
      </c>
      <c r="J595" s="42" t="str">
        <f>IFERROR(__xludf.DUMMYFUNCTION("GOOGLETRANSLATE(I595,""en"",""pl"")"),"Uchwyt ścienny do TNU-6320 (wycofany z produkcji) i TNU-6321, kolor: biały, materiał: aluminium")</f>
        <v>Uchwyt ścienny do TNU-6320 (wycofany z produkcji) i TNU-6321, kolor: biały, materiał: aluminium</v>
      </c>
      <c r="K595" s="43" t="s">
        <v>21</v>
      </c>
      <c r="L595" s="44">
        <v>299.0</v>
      </c>
      <c r="M595" s="8"/>
      <c r="N595" s="45" t="s">
        <v>22</v>
      </c>
      <c r="O595" s="97"/>
      <c r="P595" s="36"/>
      <c r="Q595" s="35"/>
      <c r="R595" s="68"/>
      <c r="S595" s="68"/>
      <c r="T595" s="68"/>
      <c r="U595" s="35"/>
      <c r="V595" s="35"/>
      <c r="W595" s="35"/>
      <c r="X595" s="35"/>
      <c r="Y595" s="35"/>
      <c r="Z595" s="35"/>
      <c r="AA595" s="35"/>
      <c r="AB595" s="35"/>
      <c r="AC595" s="60"/>
      <c r="AD595" s="85"/>
      <c r="AE595" s="85"/>
      <c r="AF595" s="85"/>
      <c r="AG595" s="85"/>
      <c r="AH595" s="85"/>
      <c r="AI595" s="85"/>
      <c r="AJ595" s="85"/>
      <c r="AK595" s="85"/>
      <c r="AL595" s="85"/>
      <c r="AM595" s="85"/>
      <c r="AN595" s="85"/>
      <c r="AO595" s="85"/>
      <c r="AP595" s="85"/>
    </row>
    <row r="596" ht="79.5" customHeight="1">
      <c r="A596" s="29"/>
      <c r="B596" s="38" t="s">
        <v>23</v>
      </c>
      <c r="C596" s="39" t="s">
        <v>1670</v>
      </c>
      <c r="D596" s="40" t="s">
        <v>1671</v>
      </c>
      <c r="E596" s="118"/>
      <c r="F596" s="40"/>
      <c r="G596" s="39"/>
      <c r="H596" s="41" t="s">
        <v>79</v>
      </c>
      <c r="I596" s="48" t="s">
        <v>1672</v>
      </c>
      <c r="J596" s="42" t="str">
        <f>IFERROR(__xludf.DUMMYFUNCTION("GOOGLETRANSLATE(I596,""en"",""pl"")"),"Puszka instalacyjna kompatybilna z SBP-300WM, SBP-300WM1, SBP-300KM, SBP-300PM, IP66, kość słoniowa")</f>
        <v>Puszka instalacyjna kompatybilna z SBP-300WM, SBP-300WM1, SBP-300KM, SBP-300PM, IP66, kość słoniowa</v>
      </c>
      <c r="K596" s="43" t="s">
        <v>21</v>
      </c>
      <c r="L596" s="44">
        <v>282.0</v>
      </c>
      <c r="M596" s="8"/>
      <c r="N596" s="45" t="s">
        <v>22</v>
      </c>
      <c r="O596" s="97"/>
      <c r="P596" s="35"/>
      <c r="Q596" s="35"/>
      <c r="R596" s="68"/>
      <c r="S596" s="68"/>
      <c r="T596" s="68"/>
      <c r="U596" s="35"/>
      <c r="V596" s="35"/>
      <c r="W596" s="35"/>
      <c r="X596" s="35"/>
      <c r="Y596" s="35"/>
      <c r="Z596" s="35"/>
      <c r="AA596" s="35"/>
      <c r="AB596" s="35"/>
      <c r="AC596" s="101"/>
      <c r="AD596" s="98"/>
      <c r="AE596" s="98"/>
      <c r="AF596" s="98"/>
      <c r="AG596" s="98"/>
      <c r="AH596" s="98"/>
      <c r="AI596" s="98"/>
      <c r="AJ596" s="98"/>
      <c r="AK596" s="98"/>
      <c r="AL596" s="98"/>
      <c r="AM596" s="98"/>
      <c r="AN596" s="98"/>
      <c r="AO596" s="98"/>
      <c r="AP596" s="98"/>
    </row>
    <row r="597" ht="79.5" customHeight="1">
      <c r="A597" s="29"/>
      <c r="B597" s="38" t="s">
        <v>23</v>
      </c>
      <c r="C597" s="39" t="s">
        <v>1673</v>
      </c>
      <c r="D597" s="40" t="s">
        <v>1671</v>
      </c>
      <c r="E597" s="118"/>
      <c r="F597" s="40"/>
      <c r="G597" s="39"/>
      <c r="H597" s="41" t="s">
        <v>79</v>
      </c>
      <c r="I597" s="48" t="s">
        <v>1674</v>
      </c>
      <c r="J597" s="42" t="str">
        <f>IFERROR(__xludf.DUMMYFUNCTION("GOOGLETRANSLATE(I597,""en"",""pl"")"),"Puszka instalacyjna zgodna z SBP-300WMW, SBP-300WMW1, SBP-300KMW, SBP-300PMW, IP66, QNV-6012R1/6022R1/6032R1/6082R1, QND-6012R1/6022R1/6032R1/6082R1, biała")</f>
        <v>Puszka instalacyjna zgodna z SBP-300WMW, SBP-300WMW1, SBP-300KMW, SBP-300PMW, IP66, QNV-6012R1/6022R1/6032R1/6082R1, QND-6012R1/6022R1/6032R1/6082R1, biała</v>
      </c>
      <c r="K597" s="43" t="s">
        <v>21</v>
      </c>
      <c r="L597" s="44">
        <v>282.0</v>
      </c>
      <c r="M597" s="8"/>
      <c r="N597" s="45" t="s">
        <v>22</v>
      </c>
      <c r="O597" s="97"/>
      <c r="P597" s="35"/>
      <c r="Q597" s="35"/>
      <c r="R597" s="68"/>
      <c r="S597" s="68"/>
      <c r="T597" s="68"/>
      <c r="U597" s="35"/>
      <c r="V597" s="35"/>
      <c r="W597" s="35"/>
      <c r="X597" s="35"/>
      <c r="Y597" s="35"/>
      <c r="Z597" s="35"/>
      <c r="AA597" s="35"/>
      <c r="AB597" s="35"/>
      <c r="AC597" s="101"/>
      <c r="AD597" s="98"/>
      <c r="AE597" s="98"/>
      <c r="AF597" s="98"/>
      <c r="AG597" s="98"/>
      <c r="AH597" s="98"/>
      <c r="AI597" s="98"/>
      <c r="AJ597" s="98"/>
      <c r="AK597" s="98"/>
      <c r="AL597" s="98"/>
      <c r="AM597" s="98"/>
      <c r="AN597" s="98"/>
      <c r="AO597" s="98"/>
      <c r="AP597" s="98"/>
    </row>
    <row r="598" ht="79.5" customHeight="1">
      <c r="A598" s="29"/>
      <c r="B598" s="38" t="s">
        <v>23</v>
      </c>
      <c r="C598" s="39" t="s">
        <v>1675</v>
      </c>
      <c r="D598" s="40" t="s">
        <v>1676</v>
      </c>
      <c r="E598" s="118"/>
      <c r="F598" s="40"/>
      <c r="G598" s="39"/>
      <c r="H598" s="41" t="s">
        <v>79</v>
      </c>
      <c r="I598" s="48" t="s">
        <v>1677</v>
      </c>
      <c r="J598" s="42" t="str">
        <f>IFERROR(__xludf.DUMMYFUNCTION("GOOGLETRANSLATE(I598,""en"",""pl"")"),"Podstawa ścienna kompatybilna z uchwytami SBP-300WM/300WM1, kość słoniowa")</f>
        <v>Podstawa ścienna kompatybilna z uchwytami SBP-300WM/300WM1, kość słoniowa</v>
      </c>
      <c r="K598" s="43" t="s">
        <v>21</v>
      </c>
      <c r="L598" s="44">
        <v>48.0</v>
      </c>
      <c r="M598" s="8"/>
      <c r="N598" s="45" t="s">
        <v>22</v>
      </c>
      <c r="O598" s="97"/>
      <c r="P598" s="36"/>
      <c r="Q598" s="35"/>
      <c r="R598" s="68"/>
      <c r="S598" s="68"/>
      <c r="T598" s="68"/>
      <c r="U598" s="35"/>
      <c r="V598" s="35"/>
      <c r="W598" s="35"/>
      <c r="X598" s="35"/>
      <c r="Y598" s="35"/>
      <c r="Z598" s="35"/>
      <c r="AA598" s="35"/>
      <c r="AB598" s="35"/>
      <c r="AC598" s="60"/>
      <c r="AD598" s="85"/>
      <c r="AE598" s="85"/>
      <c r="AF598" s="85"/>
      <c r="AG598" s="85"/>
      <c r="AH598" s="85"/>
      <c r="AI598" s="85"/>
      <c r="AJ598" s="85"/>
      <c r="AK598" s="85"/>
      <c r="AL598" s="85"/>
      <c r="AM598" s="85"/>
      <c r="AN598" s="85"/>
      <c r="AO598" s="85"/>
      <c r="AP598" s="85"/>
    </row>
    <row r="599" ht="79.5" customHeight="1">
      <c r="A599" s="29"/>
      <c r="B599" s="38" t="s">
        <v>23</v>
      </c>
      <c r="C599" s="39" t="s">
        <v>1678</v>
      </c>
      <c r="D599" s="40" t="s">
        <v>1679</v>
      </c>
      <c r="E599" s="118"/>
      <c r="F599" s="40"/>
      <c r="G599" s="39"/>
      <c r="H599" s="41" t="s">
        <v>79</v>
      </c>
      <c r="I599" s="48" t="s">
        <v>1680</v>
      </c>
      <c r="J599" s="42" t="str">
        <f>IFERROR(__xludf.DUMMYFUNCTION("GOOGLETRANSLATE(I599,""en"",""pl"")"),"Uchwyt górny, aluminiowy, biały, waga 700 g (1,54 funta), kompatybilny z TNO-7180RLP")</f>
        <v>Uchwyt górny, aluminiowy, biały, waga 700 g (1,54 funta), kompatybilny z TNO-7180RLP</v>
      </c>
      <c r="K599" s="43" t="s">
        <v>21</v>
      </c>
      <c r="L599" s="44">
        <v>50.0</v>
      </c>
      <c r="M599" s="8"/>
      <c r="N599" s="45" t="s">
        <v>22</v>
      </c>
      <c r="O599" s="97"/>
      <c r="P599" s="36"/>
      <c r="Q599" s="35"/>
      <c r="R599" s="68"/>
      <c r="S599" s="68"/>
      <c r="T599" s="68"/>
      <c r="U599" s="35"/>
      <c r="V599" s="35"/>
      <c r="W599" s="35"/>
      <c r="X599" s="35"/>
      <c r="Y599" s="35"/>
      <c r="Z599" s="35"/>
      <c r="AA599" s="35"/>
      <c r="AB599" s="35"/>
      <c r="AC599" s="60"/>
      <c r="AD599" s="85"/>
      <c r="AE599" s="85"/>
      <c r="AF599" s="85"/>
      <c r="AG599" s="85"/>
      <c r="AH599" s="85"/>
      <c r="AI599" s="85"/>
      <c r="AJ599" s="85"/>
      <c r="AK599" s="85"/>
      <c r="AL599" s="85"/>
      <c r="AM599" s="85"/>
      <c r="AN599" s="85"/>
      <c r="AO599" s="85"/>
      <c r="AP599" s="85"/>
    </row>
    <row r="600" ht="79.5" customHeight="1">
      <c r="A600" s="29"/>
      <c r="B600" s="38" t="s">
        <v>23</v>
      </c>
      <c r="C600" s="39" t="s">
        <v>1681</v>
      </c>
      <c r="D600" s="40" t="s">
        <v>1682</v>
      </c>
      <c r="E600" s="118"/>
      <c r="F600" s="40"/>
      <c r="G600" s="39"/>
      <c r="H600" s="41" t="s">
        <v>79</v>
      </c>
      <c r="I600" s="48" t="s">
        <v>1683</v>
      </c>
      <c r="J600" s="42" t="str">
        <f>IFERROR(__xludf.DUMMYFUNCTION("GOOGLETRANSLATE(I600,""en"",""pl"")"),"Aluminiowy uchwyt parapetowy do kamer zewnętrznych PTZ PLUS. Kompatybilny z modelami XNP-9300RW/9250R/9250/8300RW/8250R/8250/6400RW/6400R/6400, biały.")</f>
        <v>Aluminiowy uchwyt parapetowy do kamer zewnętrznych PTZ PLUS. Kompatybilny z modelami XNP-9300RW/9250R/9250/8300RW/8250R/8250/6400RW/6400R/6400, biały.</v>
      </c>
      <c r="K600" s="43" t="s">
        <v>21</v>
      </c>
      <c r="L600" s="44">
        <v>435.0</v>
      </c>
      <c r="M600" s="8"/>
      <c r="N600" s="45" t="s">
        <v>22</v>
      </c>
      <c r="O600" s="97"/>
      <c r="P600" s="36"/>
      <c r="Q600" s="35"/>
      <c r="R600" s="68"/>
      <c r="S600" s="68"/>
      <c r="T600" s="68"/>
      <c r="U600" s="35"/>
      <c r="V600" s="35"/>
      <c r="W600" s="35"/>
      <c r="X600" s="35"/>
      <c r="Y600" s="35"/>
      <c r="Z600" s="35"/>
      <c r="AA600" s="35"/>
      <c r="AB600" s="35"/>
      <c r="AC600" s="60"/>
      <c r="AD600" s="85"/>
      <c r="AE600" s="85"/>
      <c r="AF600" s="85"/>
      <c r="AG600" s="85"/>
      <c r="AH600" s="85"/>
      <c r="AI600" s="85"/>
      <c r="AJ600" s="85"/>
      <c r="AK600" s="85"/>
      <c r="AL600" s="85"/>
      <c r="AM600" s="85"/>
      <c r="AN600" s="85"/>
      <c r="AO600" s="85"/>
      <c r="AP600" s="85"/>
    </row>
    <row r="601" ht="79.5" customHeight="1">
      <c r="A601" s="29"/>
      <c r="B601" s="38" t="s">
        <v>23</v>
      </c>
      <c r="C601" s="39" t="s">
        <v>1684</v>
      </c>
      <c r="D601" s="40" t="s">
        <v>1685</v>
      </c>
      <c r="E601" s="118"/>
      <c r="F601" s="40"/>
      <c r="G601" s="39"/>
      <c r="H601" s="41" t="s">
        <v>79</v>
      </c>
      <c r="I601" s="48" t="s">
        <v>1686</v>
      </c>
      <c r="J601" s="42" t="str">
        <f>IFERROR(__xludf.DUMMYFUNCTION("GOOGLETRANSLATE(I601,""en"",""pl"")"),"Aluminiowy teleskopowy uchwyt parapetowy do kamer. Wymiary: 835 ~ 1098 x 1000 x 95 mm (32,9 ~ 43,2 x 39,4 x 3,8 cala), kompatybilny z dowolnymi uchwytami 1,5 NOT, biały, RAL9003")</f>
        <v>Aluminiowy teleskopowy uchwyt parapetowy do kamer. Wymiary: 835 ~ 1098 x 1000 x 95 mm (32,9 ~ 43,2 x 39,4 x 3,8 cala), kompatybilny z dowolnymi uchwytami 1,5 NOT, biały, RAL9003</v>
      </c>
      <c r="K601" s="43" t="s">
        <v>21</v>
      </c>
      <c r="L601" s="44">
        <v>410.0</v>
      </c>
      <c r="M601" s="8"/>
      <c r="N601" s="45" t="s">
        <v>22</v>
      </c>
      <c r="O601" s="97"/>
      <c r="P601" s="36"/>
      <c r="Q601" s="35"/>
      <c r="R601" s="68"/>
      <c r="S601" s="68"/>
      <c r="T601" s="68"/>
      <c r="U601" s="35"/>
      <c r="V601" s="35"/>
      <c r="W601" s="35"/>
      <c r="X601" s="35"/>
      <c r="Y601" s="35"/>
      <c r="Z601" s="35"/>
      <c r="AA601" s="35"/>
      <c r="AB601" s="35"/>
      <c r="AC601" s="60"/>
      <c r="AD601" s="85"/>
      <c r="AE601" s="85"/>
      <c r="AF601" s="85"/>
      <c r="AG601" s="85"/>
      <c r="AH601" s="85"/>
      <c r="AI601" s="85"/>
      <c r="AJ601" s="85"/>
      <c r="AK601" s="85"/>
      <c r="AL601" s="85"/>
      <c r="AM601" s="85"/>
      <c r="AN601" s="85"/>
      <c r="AO601" s="85"/>
      <c r="AP601" s="85"/>
    </row>
    <row r="602" ht="79.5" customHeight="1">
      <c r="A602" s="29"/>
      <c r="B602" s="38" t="s">
        <v>23</v>
      </c>
      <c r="C602" s="39" t="s">
        <v>1687</v>
      </c>
      <c r="D602" s="40" t="s">
        <v>1682</v>
      </c>
      <c r="E602" s="118"/>
      <c r="F602" s="40"/>
      <c r="G602" s="39"/>
      <c r="H602" s="41" t="s">
        <v>79</v>
      </c>
      <c r="I602" s="48" t="s">
        <v>1688</v>
      </c>
      <c r="J602" s="42" t="str">
        <f>IFERROR(__xludf.DUMMYFUNCTION("GOOGLETRANSLATE(I602,""en"",""pl"")"),"Akcesorium do montażu na parapecie, kompatybilne ze wszystkimi pełnowymiarowymi kamerami PTZ do użytku na zewnątrz i wszystkimi nakładkami, kolor kości słoniowej")</f>
        <v>Akcesorium do montażu na parapecie, kompatybilne ze wszystkimi pełnowymiarowymi kamerami PTZ do użytku na zewnątrz i wszystkimi nakładkami, kolor kości słoniowej</v>
      </c>
      <c r="K602" s="43" t="s">
        <v>21</v>
      </c>
      <c r="L602" s="44">
        <v>172.0</v>
      </c>
      <c r="M602" s="8"/>
      <c r="N602" s="45" t="s">
        <v>22</v>
      </c>
      <c r="O602" s="97"/>
      <c r="P602" s="36"/>
      <c r="Q602" s="35"/>
      <c r="R602" s="68"/>
      <c r="S602" s="68"/>
      <c r="T602" s="68"/>
      <c r="U602" s="35"/>
      <c r="V602" s="35"/>
      <c r="W602" s="35"/>
      <c r="X602" s="35"/>
      <c r="Y602" s="35"/>
      <c r="Z602" s="35"/>
      <c r="AA602" s="35"/>
      <c r="AB602" s="35"/>
      <c r="AC602" s="60"/>
      <c r="AD602" s="85"/>
      <c r="AE602" s="85"/>
      <c r="AF602" s="85"/>
      <c r="AG602" s="85"/>
      <c r="AH602" s="85"/>
      <c r="AI602" s="85"/>
      <c r="AJ602" s="85"/>
      <c r="AK602" s="85"/>
      <c r="AL602" s="85"/>
      <c r="AM602" s="85"/>
      <c r="AN602" s="85"/>
      <c r="AO602" s="85"/>
      <c r="AP602" s="85"/>
    </row>
    <row r="603" ht="79.5" customHeight="1">
      <c r="A603" s="29"/>
      <c r="B603" s="38" t="s">
        <v>23</v>
      </c>
      <c r="C603" s="39" t="s">
        <v>1689</v>
      </c>
      <c r="D603" s="40" t="s">
        <v>1682</v>
      </c>
      <c r="E603" s="118"/>
      <c r="F603" s="40"/>
      <c r="G603" s="39"/>
      <c r="H603" s="41" t="s">
        <v>79</v>
      </c>
      <c r="I603" s="48" t="s">
        <v>1690</v>
      </c>
      <c r="J603" s="42" t="str">
        <f>IFERROR(__xludf.DUMMYFUNCTION("GOOGLETRANSLATE(I603,""en"",""pl"")"),"Aluminiowy element montażowy do parapetu, QNV-6012R1/6022R1/6032R1/6082R1, biały")</f>
        <v>Aluminiowy element montażowy do parapetu, QNV-6012R1/6022R1/6032R1/6082R1, biały</v>
      </c>
      <c r="K603" s="43" t="s">
        <v>21</v>
      </c>
      <c r="L603" s="44">
        <v>172.0</v>
      </c>
      <c r="M603" s="8"/>
      <c r="N603" s="45" t="s">
        <v>22</v>
      </c>
      <c r="O603" s="97"/>
      <c r="P603" s="36"/>
      <c r="Q603" s="35"/>
      <c r="R603" s="68"/>
      <c r="S603" s="68"/>
      <c r="T603" s="68"/>
      <c r="U603" s="35"/>
      <c r="V603" s="35"/>
      <c r="W603" s="35"/>
      <c r="X603" s="35"/>
      <c r="Y603" s="35"/>
      <c r="Z603" s="35"/>
      <c r="AA603" s="35"/>
      <c r="AB603" s="35"/>
      <c r="AC603" s="60"/>
      <c r="AD603" s="85"/>
      <c r="AE603" s="85"/>
      <c r="AF603" s="85"/>
      <c r="AG603" s="85"/>
      <c r="AH603" s="85"/>
      <c r="AI603" s="85"/>
      <c r="AJ603" s="85"/>
      <c r="AK603" s="85"/>
      <c r="AL603" s="85"/>
      <c r="AM603" s="85"/>
      <c r="AN603" s="85"/>
      <c r="AO603" s="85"/>
      <c r="AP603" s="85"/>
    </row>
    <row r="604" ht="79.5" customHeight="1">
      <c r="A604" s="29"/>
      <c r="B604" s="38" t="s">
        <v>23</v>
      </c>
      <c r="C604" s="39" t="s">
        <v>1691</v>
      </c>
      <c r="D604" s="40" t="s">
        <v>1692</v>
      </c>
      <c r="E604" s="118"/>
      <c r="F604" s="40"/>
      <c r="G604" s="39"/>
      <c r="H604" s="41" t="s">
        <v>79</v>
      </c>
      <c r="I604" s="48" t="s">
        <v>1693</v>
      </c>
      <c r="J604" s="42" t="str">
        <f>IFERROR(__xludf.DUMMYFUNCTION("GOOGLETRANSLATE(I604,""en"",""pl"")"),"Adapter do montażu na słupie, aluminiowy, XNV-6120R, kość słoniowa")</f>
        <v>Adapter do montażu na słupie, aluminiowy, XNV-6120R, kość słoniowa</v>
      </c>
      <c r="K604" s="43" t="s">
        <v>21</v>
      </c>
      <c r="L604" s="44">
        <v>52.0</v>
      </c>
      <c r="M604" s="8"/>
      <c r="N604" s="45" t="s">
        <v>22</v>
      </c>
      <c r="O604" s="97"/>
      <c r="P604" s="36"/>
      <c r="Q604" s="35"/>
      <c r="R604" s="68"/>
      <c r="S604" s="68"/>
      <c r="T604" s="68"/>
      <c r="U604" s="35"/>
      <c r="V604" s="35"/>
      <c r="W604" s="35"/>
      <c r="X604" s="35"/>
      <c r="Y604" s="35"/>
      <c r="Z604" s="35"/>
      <c r="AA604" s="35"/>
      <c r="AB604" s="35"/>
      <c r="AC604" s="60"/>
      <c r="AD604" s="85"/>
      <c r="AE604" s="85"/>
      <c r="AF604" s="85"/>
      <c r="AG604" s="85"/>
      <c r="AH604" s="85"/>
      <c r="AI604" s="85"/>
      <c r="AJ604" s="85"/>
      <c r="AK604" s="85"/>
      <c r="AL604" s="85"/>
      <c r="AM604" s="85"/>
      <c r="AN604" s="85"/>
      <c r="AO604" s="85"/>
      <c r="AP604" s="85"/>
    </row>
    <row r="605" ht="79.5" customHeight="1">
      <c r="A605" s="29"/>
      <c r="B605" s="38" t="s">
        <v>23</v>
      </c>
      <c r="C605" s="39" t="s">
        <v>1694</v>
      </c>
      <c r="D605" s="40" t="s">
        <v>1692</v>
      </c>
      <c r="E605" s="118"/>
      <c r="F605" s="40"/>
      <c r="G605" s="39"/>
      <c r="H605" s="41" t="s">
        <v>79</v>
      </c>
      <c r="I605" s="48" t="s">
        <v>1695</v>
      </c>
      <c r="J605" s="42" t="str">
        <f>IFERROR(__xludf.DUMMYFUNCTION("GOOGLETRANSLATE(I605,""en"",""pl"")"),"Uchwyt do montażu na słupie, aluminiowy, biały, kompatybilny z QNV-6012R1/6022R1/6032R1/6082R1, QND-6012R1/6022R1/6032R1/6082R1 i TNO-7180RLP")</f>
        <v>Uchwyt do montażu na słupie, aluminiowy, biały, kompatybilny z QNV-6012R1/6022R1/6032R1/6082R1, QND-6012R1/6022R1/6032R1/6082R1 i TNO-7180RLP</v>
      </c>
      <c r="K605" s="43" t="s">
        <v>21</v>
      </c>
      <c r="L605" s="44">
        <v>79.0</v>
      </c>
      <c r="M605" s="8"/>
      <c r="N605" s="45" t="s">
        <v>22</v>
      </c>
      <c r="O605" s="97"/>
      <c r="P605" s="36"/>
      <c r="Q605" s="35"/>
      <c r="R605" s="68"/>
      <c r="S605" s="68"/>
      <c r="T605" s="68"/>
      <c r="U605" s="35"/>
      <c r="V605" s="35"/>
      <c r="W605" s="35"/>
      <c r="X605" s="35"/>
      <c r="Y605" s="35"/>
      <c r="Z605" s="35"/>
      <c r="AA605" s="35"/>
      <c r="AB605" s="35"/>
      <c r="AC605" s="60"/>
      <c r="AD605" s="85"/>
      <c r="AE605" s="85"/>
      <c r="AF605" s="85"/>
      <c r="AG605" s="85"/>
      <c r="AH605" s="85"/>
      <c r="AI605" s="85"/>
      <c r="AJ605" s="85"/>
      <c r="AK605" s="85"/>
      <c r="AL605" s="85"/>
      <c r="AM605" s="85"/>
      <c r="AN605" s="85"/>
      <c r="AO605" s="85"/>
      <c r="AP605" s="85"/>
    </row>
    <row r="606" ht="79.5" customHeight="1">
      <c r="A606" s="29"/>
      <c r="B606" s="38" t="s">
        <v>23</v>
      </c>
      <c r="C606" s="39" t="s">
        <v>1696</v>
      </c>
      <c r="D606" s="40" t="s">
        <v>1692</v>
      </c>
      <c r="E606" s="118"/>
      <c r="F606" s="40"/>
      <c r="G606" s="39"/>
      <c r="H606" s="41" t="s">
        <v>79</v>
      </c>
      <c r="I606" s="48" t="s">
        <v>1697</v>
      </c>
      <c r="J606" s="42" t="str">
        <f>IFERROR(__xludf.DUMMYFUNCTION("GOOGLETRANSLATE(I606,""en"",""pl"")"),"Adapter do montażu na słupie, aluminiowy, kompatybilny z SHB-4200H, SHB-4300HP, SHB-4301H2, SBP-300PMW1, biały")</f>
        <v>Adapter do montażu na słupie, aluminiowy, kompatybilny z SHB-4200H, SHB-4300HP, SHB-4301H2, SBP-300PMW1, biały</v>
      </c>
      <c r="K606" s="43" t="s">
        <v>21</v>
      </c>
      <c r="L606" s="44">
        <v>32.0</v>
      </c>
      <c r="M606" s="8"/>
      <c r="N606" s="45" t="s">
        <v>22</v>
      </c>
      <c r="O606" s="97"/>
      <c r="P606" s="36"/>
      <c r="Q606" s="35"/>
      <c r="R606" s="68"/>
      <c r="S606" s="68"/>
      <c r="T606" s="68"/>
      <c r="U606" s="35"/>
      <c r="V606" s="35"/>
      <c r="W606" s="35"/>
      <c r="X606" s="35"/>
      <c r="Y606" s="35"/>
      <c r="Z606" s="35"/>
      <c r="AA606" s="35"/>
      <c r="AB606" s="35"/>
      <c r="AC606" s="60"/>
      <c r="AD606" s="85"/>
      <c r="AE606" s="85"/>
      <c r="AF606" s="85"/>
      <c r="AG606" s="85"/>
      <c r="AH606" s="85"/>
      <c r="AI606" s="85"/>
      <c r="AJ606" s="85"/>
      <c r="AK606" s="85"/>
      <c r="AL606" s="85"/>
      <c r="AM606" s="85"/>
      <c r="AN606" s="85"/>
      <c r="AO606" s="85"/>
      <c r="AP606" s="85"/>
    </row>
    <row r="607" ht="79.5" customHeight="1">
      <c r="A607" s="29"/>
      <c r="B607" s="38" t="s">
        <v>23</v>
      </c>
      <c r="C607" s="39" t="s">
        <v>1698</v>
      </c>
      <c r="D607" s="40" t="s">
        <v>1699</v>
      </c>
      <c r="E607" s="118"/>
      <c r="F607" s="40"/>
      <c r="G607" s="39"/>
      <c r="H607" s="41" t="s">
        <v>79</v>
      </c>
      <c r="I607" s="48" t="s">
        <v>1700</v>
      </c>
      <c r="J607" s="42" t="str">
        <f>IFERROR(__xludf.DUMMYFUNCTION("GOOGLETRANSLATE(I607,""en"",""pl"")"),"Adapter do montażu na słupie ze stali nierdzewnej, kompatybilny z SBP-300WMS i SBP-300WMS1")</f>
        <v>Adapter do montażu na słupie ze stali nierdzewnej, kompatybilny z SBP-300WMS i SBP-300WMS1</v>
      </c>
      <c r="K607" s="43" t="s">
        <v>21</v>
      </c>
      <c r="L607" s="44">
        <v>99.0</v>
      </c>
      <c r="M607" s="8"/>
      <c r="N607" s="45" t="s">
        <v>22</v>
      </c>
      <c r="O607" s="97"/>
      <c r="P607" s="36"/>
      <c r="Q607" s="35"/>
      <c r="R607" s="68"/>
      <c r="S607" s="68"/>
      <c r="T607" s="68"/>
      <c r="U607" s="35"/>
      <c r="V607" s="35"/>
      <c r="W607" s="35"/>
      <c r="X607" s="35"/>
      <c r="Y607" s="35"/>
      <c r="Z607" s="35"/>
      <c r="AA607" s="35"/>
      <c r="AB607" s="35"/>
      <c r="AC607" s="60"/>
      <c r="AD607" s="85"/>
      <c r="AE607" s="85"/>
      <c r="AF607" s="85"/>
      <c r="AG607" s="85"/>
      <c r="AH607" s="85"/>
      <c r="AI607" s="85"/>
      <c r="AJ607" s="85"/>
      <c r="AK607" s="85"/>
      <c r="AL607" s="85"/>
      <c r="AM607" s="85"/>
      <c r="AN607" s="85"/>
      <c r="AO607" s="85"/>
      <c r="AP607" s="85"/>
    </row>
    <row r="608" ht="79.5" customHeight="1">
      <c r="A608" s="29"/>
      <c r="B608" s="38" t="s">
        <v>23</v>
      </c>
      <c r="C608" s="39" t="s">
        <v>1701</v>
      </c>
      <c r="D608" s="40" t="s">
        <v>1702</v>
      </c>
      <c r="E608" s="118"/>
      <c r="F608" s="40"/>
      <c r="G608" s="39"/>
      <c r="H608" s="41" t="s">
        <v>79</v>
      </c>
      <c r="I608" s="48" t="s">
        <v>1703</v>
      </c>
      <c r="J608" s="42" t="str">
        <f>IFERROR(__xludf.DUMMYFUNCTION("GOOGLETRANSLATE(I608,""en"",""pl"")"),"Adapter do montażu na słupie kompatybilny z SBO-100B1, PNO-9080R, SNO-8081R, QNO-7080R/6070R, QNO-7010R/7020R/7030R/6010R/6020R/6030R, QNO-6012R1/6022R1/6032R1")</f>
        <v>Adapter do montażu na słupie kompatybilny z SBO-100B1, PNO-9080R, SNO-8081R, QNO-7080R/6070R, QNO-7010R/7020R/7030R/6010R/6020R/6030R, QNO-6012R1/6022R1/6032R1</v>
      </c>
      <c r="K608" s="43" t="s">
        <v>21</v>
      </c>
      <c r="L608" s="44">
        <v>44.0</v>
      </c>
      <c r="M608" s="8"/>
      <c r="N608" s="45" t="s">
        <v>22</v>
      </c>
      <c r="O608" s="97"/>
      <c r="P608" s="36"/>
      <c r="Q608" s="35"/>
      <c r="R608" s="68"/>
      <c r="S608" s="68"/>
      <c r="T608" s="68"/>
      <c r="U608" s="35"/>
      <c r="V608" s="35"/>
      <c r="W608" s="35"/>
      <c r="X608" s="35"/>
      <c r="Y608" s="35"/>
      <c r="Z608" s="35"/>
      <c r="AA608" s="35"/>
      <c r="AB608" s="35"/>
      <c r="AC608" s="60"/>
      <c r="AD608" s="85"/>
      <c r="AE608" s="85"/>
      <c r="AF608" s="85"/>
      <c r="AG608" s="85"/>
      <c r="AH608" s="85"/>
      <c r="AI608" s="85"/>
      <c r="AJ608" s="85"/>
      <c r="AK608" s="85"/>
      <c r="AL608" s="85"/>
      <c r="AM608" s="85"/>
      <c r="AN608" s="85"/>
      <c r="AO608" s="85"/>
      <c r="AP608" s="85"/>
    </row>
    <row r="609" ht="79.5" customHeight="1">
      <c r="A609" s="29"/>
      <c r="B609" s="38" t="s">
        <v>23</v>
      </c>
      <c r="C609" s="39" t="s">
        <v>1704</v>
      </c>
      <c r="D609" s="40" t="s">
        <v>1702</v>
      </c>
      <c r="E609" s="118"/>
      <c r="F609" s="40"/>
      <c r="G609" s="39"/>
      <c r="H609" s="41" t="s">
        <v>79</v>
      </c>
      <c r="I609" s="48" t="s">
        <v>1705</v>
      </c>
      <c r="J609" s="42" t="str">
        <f>IFERROR(__xludf.DUMMYFUNCTION("GOOGLETRANSLATE(I609,""en"",""pl"")"),"Akcesorium do montażu na słupie, przeznaczone do kamer termowizyjnych typu bullet, kompatybilne z kamerami TNO-4040T, TNO-4030T, TNO-4050T, TNO-4030TR, TNO-4040TR, TNO-3010T/3020T/3030T")</f>
        <v>Akcesorium do montażu na słupie, przeznaczone do kamer termowizyjnych typu bullet, kompatybilne z kamerami TNO-4040T, TNO-4030T, TNO-4050T, TNO-4030TR, TNO-4040TR, TNO-3010T/3020T/3030T</v>
      </c>
      <c r="K609" s="43" t="s">
        <v>21</v>
      </c>
      <c r="L609" s="44">
        <v>50.0</v>
      </c>
      <c r="M609" s="8"/>
      <c r="N609" s="45" t="s">
        <v>22</v>
      </c>
      <c r="O609" s="97"/>
      <c r="P609" s="36"/>
      <c r="Q609" s="35"/>
      <c r="R609" s="68"/>
      <c r="S609" s="68"/>
      <c r="T609" s="68"/>
      <c r="U609" s="35"/>
      <c r="V609" s="35"/>
      <c r="W609" s="35"/>
      <c r="X609" s="35"/>
      <c r="Y609" s="35"/>
      <c r="Z609" s="35"/>
      <c r="AA609" s="35"/>
      <c r="AB609" s="35"/>
      <c r="AC609" s="60"/>
      <c r="AD609" s="85"/>
      <c r="AE609" s="85"/>
      <c r="AF609" s="85"/>
      <c r="AG609" s="85"/>
      <c r="AH609" s="85"/>
      <c r="AI609" s="85"/>
      <c r="AJ609" s="85"/>
      <c r="AK609" s="85"/>
      <c r="AL609" s="85"/>
      <c r="AM609" s="85"/>
      <c r="AN609" s="85"/>
      <c r="AO609" s="85"/>
      <c r="AP609" s="85"/>
    </row>
    <row r="610" ht="79.5" customHeight="1">
      <c r="A610" s="29"/>
      <c r="B610" s="38" t="s">
        <v>23</v>
      </c>
      <c r="C610" s="39" t="s">
        <v>1706</v>
      </c>
      <c r="D610" s="40" t="s">
        <v>1609</v>
      </c>
      <c r="E610" s="118"/>
      <c r="F610" s="40"/>
      <c r="G610" s="39"/>
      <c r="H610" s="41" t="s">
        <v>79</v>
      </c>
      <c r="I610" s="48" t="s">
        <v>1707</v>
      </c>
      <c r="J610" s="42" t="str">
        <f>IFERROR(__xludf.DUMMYFUNCTION("GOOGLETRANSLATE(I610,""en"",""pl"")"),"Uchwyt ścienny kompatybilny z kamerami pozycjonującymi TNP Rugged PTZ (biały)")</f>
        <v>Uchwyt ścienny kompatybilny z kamerami pozycjonującymi TNP Rugged PTZ (biały)</v>
      </c>
      <c r="K610" s="43" t="s">
        <v>21</v>
      </c>
      <c r="L610" s="44">
        <v>420.0</v>
      </c>
      <c r="M610" s="8"/>
      <c r="N610" s="45" t="s">
        <v>22</v>
      </c>
      <c r="O610" s="97"/>
      <c r="P610" s="36"/>
      <c r="Q610" s="35"/>
      <c r="R610" s="68"/>
      <c r="S610" s="68"/>
      <c r="T610" s="68"/>
      <c r="U610" s="35"/>
      <c r="V610" s="35"/>
      <c r="W610" s="35"/>
      <c r="X610" s="35"/>
      <c r="Y610" s="35"/>
      <c r="Z610" s="35"/>
      <c r="AA610" s="35"/>
      <c r="AB610" s="35"/>
      <c r="AC610" s="60"/>
      <c r="AD610" s="85"/>
      <c r="AE610" s="85"/>
      <c r="AF610" s="85"/>
      <c r="AG610" s="85"/>
      <c r="AH610" s="85"/>
      <c r="AI610" s="85"/>
      <c r="AJ610" s="85"/>
      <c r="AK610" s="85"/>
      <c r="AL610" s="85"/>
      <c r="AM610" s="85"/>
      <c r="AN610" s="85"/>
      <c r="AO610" s="85"/>
      <c r="AP610" s="85"/>
    </row>
    <row r="611" ht="79.5" customHeight="1">
      <c r="A611" s="29"/>
      <c r="B611" s="38" t="s">
        <v>23</v>
      </c>
      <c r="C611" s="39" t="s">
        <v>1708</v>
      </c>
      <c r="D611" s="40" t="s">
        <v>1609</v>
      </c>
      <c r="E611" s="118"/>
      <c r="F611" s="40"/>
      <c r="G611" s="39"/>
      <c r="H611" s="41" t="s">
        <v>79</v>
      </c>
      <c r="I611" s="48" t="s">
        <v>1709</v>
      </c>
      <c r="J611" s="42" t="str">
        <f>IFERROR(__xludf.DUMMYFUNCTION("GOOGLETRANSLATE(I611,""en"",""pl"")"),"Uchwyt ścienny kompatybilny z kamerami pozycjonującymi TNP Rugged PTZ (czarny)")</f>
        <v>Uchwyt ścienny kompatybilny z kamerami pozycjonującymi TNP Rugged PTZ (czarny)</v>
      </c>
      <c r="K611" s="43" t="s">
        <v>21</v>
      </c>
      <c r="L611" s="44">
        <v>420.0</v>
      </c>
      <c r="M611" s="8"/>
      <c r="N611" s="45" t="s">
        <v>22</v>
      </c>
      <c r="O611" s="97"/>
      <c r="P611" s="36"/>
      <c r="Q611" s="35"/>
      <c r="R611" s="68"/>
      <c r="S611" s="68"/>
      <c r="T611" s="68"/>
      <c r="U611" s="35"/>
      <c r="V611" s="35"/>
      <c r="W611" s="35"/>
      <c r="X611" s="35"/>
      <c r="Y611" s="35"/>
      <c r="Z611" s="35"/>
      <c r="AA611" s="35"/>
      <c r="AB611" s="35"/>
      <c r="AC611" s="60"/>
      <c r="AD611" s="85"/>
      <c r="AE611" s="85"/>
      <c r="AF611" s="85"/>
      <c r="AG611" s="85"/>
      <c r="AH611" s="85"/>
      <c r="AI611" s="85"/>
      <c r="AJ611" s="85"/>
      <c r="AK611" s="85"/>
      <c r="AL611" s="85"/>
      <c r="AM611" s="85"/>
      <c r="AN611" s="85"/>
      <c r="AO611" s="85"/>
      <c r="AP611" s="85"/>
    </row>
    <row r="612" ht="79.5" customHeight="1">
      <c r="A612" s="29"/>
      <c r="B612" s="38" t="s">
        <v>23</v>
      </c>
      <c r="C612" s="39" t="s">
        <v>1710</v>
      </c>
      <c r="D612" s="40" t="s">
        <v>1711</v>
      </c>
      <c r="E612" s="118"/>
      <c r="F612" s="40"/>
      <c r="G612" s="39"/>
      <c r="H612" s="41" t="s">
        <v>79</v>
      </c>
      <c r="I612" s="48" t="s">
        <v>1712</v>
      </c>
      <c r="J612" s="42" t="str">
        <f>IFERROR(__xludf.DUMMYFUNCTION("GOOGLETRANSLATE(I612,""en"",""pl"")"),"Konwerter montażowy 4"" na 4,75"" do kamer pozycjonujących TNP Rugged PTZ (biały)")</f>
        <v>Konwerter montażowy 4" na 4,75" do kamer pozycjonujących TNP Rugged PTZ (biały)</v>
      </c>
      <c r="K612" s="43" t="s">
        <v>21</v>
      </c>
      <c r="L612" s="44">
        <v>170.0</v>
      </c>
      <c r="M612" s="8"/>
      <c r="N612" s="45" t="s">
        <v>22</v>
      </c>
      <c r="O612" s="97"/>
      <c r="P612" s="36"/>
      <c r="Q612" s="35"/>
      <c r="R612" s="68"/>
      <c r="S612" s="68"/>
      <c r="T612" s="68"/>
      <c r="U612" s="35"/>
      <c r="V612" s="35"/>
      <c r="W612" s="35"/>
      <c r="X612" s="35"/>
      <c r="Y612" s="35"/>
      <c r="Z612" s="35"/>
      <c r="AA612" s="35"/>
      <c r="AB612" s="35"/>
      <c r="AC612" s="60"/>
      <c r="AD612" s="85"/>
      <c r="AE612" s="85"/>
      <c r="AF612" s="85"/>
      <c r="AG612" s="85"/>
      <c r="AH612" s="85"/>
      <c r="AI612" s="85"/>
      <c r="AJ612" s="85"/>
      <c r="AK612" s="85"/>
      <c r="AL612" s="85"/>
      <c r="AM612" s="85"/>
      <c r="AN612" s="85"/>
      <c r="AO612" s="85"/>
      <c r="AP612" s="85"/>
    </row>
    <row r="613" ht="79.5" customHeight="1">
      <c r="A613" s="29"/>
      <c r="B613" s="38" t="s">
        <v>23</v>
      </c>
      <c r="C613" s="39" t="s">
        <v>1713</v>
      </c>
      <c r="D613" s="40" t="s">
        <v>1711</v>
      </c>
      <c r="E613" s="118"/>
      <c r="F613" s="40"/>
      <c r="G613" s="39"/>
      <c r="H613" s="41" t="s">
        <v>79</v>
      </c>
      <c r="I613" s="48" t="s">
        <v>1714</v>
      </c>
      <c r="J613" s="42" t="str">
        <f>IFERROR(__xludf.DUMMYFUNCTION("GOOGLETRANSLATE(I613,""en"",""pl"")"),"Konwerter montażowy 4"" na 4,75"" do kamer pozycjonujących TNP Rugged PTZ (czarny)")</f>
        <v>Konwerter montażowy 4" na 4,75" do kamer pozycjonujących TNP Rugged PTZ (czarny)</v>
      </c>
      <c r="K613" s="43" t="s">
        <v>21</v>
      </c>
      <c r="L613" s="44">
        <v>170.0</v>
      </c>
      <c r="M613" s="8"/>
      <c r="N613" s="45" t="s">
        <v>22</v>
      </c>
      <c r="O613" s="97"/>
      <c r="P613" s="36"/>
      <c r="Q613" s="35"/>
      <c r="R613" s="68"/>
      <c r="S613" s="68"/>
      <c r="T613" s="68"/>
      <c r="U613" s="35"/>
      <c r="V613" s="35"/>
      <c r="W613" s="35"/>
      <c r="X613" s="35"/>
      <c r="Y613" s="35"/>
      <c r="Z613" s="35"/>
      <c r="AA613" s="35"/>
      <c r="AB613" s="35"/>
      <c r="AC613" s="60"/>
      <c r="AD613" s="85"/>
      <c r="AE613" s="85"/>
      <c r="AF613" s="85"/>
      <c r="AG613" s="85"/>
      <c r="AH613" s="85"/>
      <c r="AI613" s="85"/>
      <c r="AJ613" s="85"/>
      <c r="AK613" s="85"/>
      <c r="AL613" s="85"/>
      <c r="AM613" s="85"/>
      <c r="AN613" s="85"/>
      <c r="AO613" s="85"/>
      <c r="AP613" s="85"/>
    </row>
    <row r="614" ht="46.5" customHeight="1">
      <c r="A614" s="29"/>
      <c r="B614" s="38" t="s">
        <v>23</v>
      </c>
      <c r="C614" s="39" t="s">
        <v>1715</v>
      </c>
      <c r="D614" s="40" t="s">
        <v>1716</v>
      </c>
      <c r="E614" s="118"/>
      <c r="F614" s="40"/>
      <c r="G614" s="39"/>
      <c r="H614" s="41" t="s">
        <v>79</v>
      </c>
      <c r="I614" s="48" t="s">
        <v>1717</v>
      </c>
      <c r="J614" s="42" t="str">
        <f>IFERROR(__xludf.DUMMYFUNCTION("GOOGLETRANSLATE(I614,""en"",""pl"")"),"Szafka montażowa kompatybilna z:
1. Bezpośrednio do kamery: QNV-C8083R/C9083R, XND-C6083RV/C7083RV/C8083RV/C9083RV, XNV-C6083R/C7083R/C8083R/C9083R, XND-6083RV/8083RV/9083RV, XNV-6083RV/8083RV/9083RV, XNV-6083R/8083R/8093R/9083R
2. SBP-156WMW i SBP-250WMW"&amp;"
3. Inne: SBV-140BW, SBO-140BW, SBO-090GP, SBD-110GP1, SBP-050PMW
(Maksymalne obciążenie 5 kg)")</f>
        <v>Szafka montażowa kompatybilna z:
1. Bezpośrednio do kamery: QNV-C8083R/C9083R, XND-C6083RV/C7083RV/C8083RV/C9083RV, XNV-C6083R/C7083R/C8083R/C9083R, XND-6083RV/8083RV/9083RV, XNV-6083RV/8083RV/9083RV, XNV-6083R/8083R/8093R/9083R
2. SBP-156WMW i SBP-250WMW
3. Inne: SBV-140BW, SBO-140BW, SBO-090GP, SBD-110GP1, SBP-050PMW
(Maksymalne obciążenie 5 kg)</v>
      </c>
      <c r="K614" s="43" t="s">
        <v>21</v>
      </c>
      <c r="L614" s="44">
        <v>330.0</v>
      </c>
      <c r="M614" s="8"/>
      <c r="N614" s="45" t="s">
        <v>22</v>
      </c>
      <c r="O614" s="97"/>
      <c r="P614" s="36"/>
      <c r="Q614" s="35"/>
      <c r="R614" s="68"/>
      <c r="S614" s="68"/>
      <c r="T614" s="68"/>
      <c r="U614" s="35"/>
      <c r="V614" s="35"/>
      <c r="W614" s="35"/>
      <c r="X614" s="35"/>
      <c r="Y614" s="35"/>
      <c r="Z614" s="35"/>
      <c r="AA614" s="35"/>
      <c r="AB614" s="35"/>
      <c r="AC614" s="60"/>
      <c r="AD614" s="85"/>
      <c r="AE614" s="85"/>
      <c r="AF614" s="85"/>
      <c r="AG614" s="85"/>
      <c r="AH614" s="85"/>
      <c r="AI614" s="85"/>
      <c r="AJ614" s="85"/>
      <c r="AK614" s="85"/>
      <c r="AL614" s="85"/>
      <c r="AM614" s="85"/>
      <c r="AN614" s="85"/>
      <c r="AO614" s="85"/>
      <c r="AP614" s="85"/>
    </row>
    <row r="615" ht="79.5" customHeight="1">
      <c r="A615" s="29"/>
      <c r="B615" s="38" t="s">
        <v>23</v>
      </c>
      <c r="C615" s="39" t="s">
        <v>1718</v>
      </c>
      <c r="D615" s="40" t="s">
        <v>1665</v>
      </c>
      <c r="E615" s="118"/>
      <c r="F615" s="40"/>
      <c r="G615" s="39"/>
      <c r="H615" s="41" t="s">
        <v>79</v>
      </c>
      <c r="I615" s="48" t="s">
        <v>1719</v>
      </c>
      <c r="J615" s="42" t="str">
        <f>IFERROR(__xludf.DUMMYFUNCTION("GOOGLETRANSLATE(I615,""en"",""pl"")"),"Uchwyt na słup do SBP-050NBW w zestawie ze stalowymi paskami SBP-060S (maksymalne obciążenie 15 kg)")</f>
        <v>Uchwyt na słup do SBP-050NBW w zestawie ze stalowymi paskami SBP-060S (maksymalne obciążenie 15 kg)</v>
      </c>
      <c r="K615" s="43" t="s">
        <v>21</v>
      </c>
      <c r="L615" s="44">
        <v>75.0</v>
      </c>
      <c r="M615" s="8"/>
      <c r="N615" s="45" t="s">
        <v>22</v>
      </c>
      <c r="O615" s="97"/>
      <c r="P615" s="36"/>
      <c r="Q615" s="35"/>
      <c r="R615" s="68"/>
      <c r="S615" s="68"/>
      <c r="T615" s="68"/>
      <c r="U615" s="35"/>
      <c r="V615" s="35"/>
      <c r="W615" s="35"/>
      <c r="X615" s="35"/>
      <c r="Y615" s="35"/>
      <c r="Z615" s="35"/>
      <c r="AA615" s="35"/>
      <c r="AB615" s="35"/>
      <c r="AC615" s="60"/>
      <c r="AD615" s="85"/>
      <c r="AE615" s="85"/>
      <c r="AF615" s="85"/>
      <c r="AG615" s="85"/>
      <c r="AH615" s="85"/>
      <c r="AI615" s="85"/>
      <c r="AJ615" s="85"/>
      <c r="AK615" s="85"/>
      <c r="AL615" s="85"/>
      <c r="AM615" s="85"/>
      <c r="AN615" s="85"/>
      <c r="AO615" s="85"/>
      <c r="AP615" s="85"/>
    </row>
    <row r="616" ht="79.5" customHeight="1">
      <c r="A616" s="29"/>
      <c r="B616" s="38" t="s">
        <v>23</v>
      </c>
      <c r="C616" s="39" t="s">
        <v>1720</v>
      </c>
      <c r="D616" s="40" t="s">
        <v>1665</v>
      </c>
      <c r="E616" s="118"/>
      <c r="F616" s="40"/>
      <c r="G616" s="39"/>
      <c r="H616" s="41" t="s">
        <v>79</v>
      </c>
      <c r="I616" s="48" t="s">
        <v>1721</v>
      </c>
      <c r="J616" s="42" t="str">
        <f>IFERROR(__xludf.DUMMYFUNCTION("GOOGLETRANSLATE(I616,""en"",""pl"")"),"Mocowanie na słupie (rdzeń: aluminium, nasadka: tworzywo sztuczne), kolor biały, Obsługiwane produkty: PNV-A6081R/A9081R, XNV-8082R/9082R, XNV-6083R/8083R/8093R/9083R,XNV-6123R, XNV-6083Z/8083Z, XNV-6083RZ/8083RZ/9083RZ,PND-A6081RV/A9081RV, XND-8082RV/908"&amp;"2RV, XNF-9010RV/9013RV,XND-6083RV/8083RV/8093RV/9083RV, XNO-6083R/8083R/9083R, XND-C6083RV/C7083RV/C8083RV/C9083RV, XNO-C6083R/C8083R/C9083R, XNV-C6083R/C7083R/C8083R/C9083R")</f>
        <v>Mocowanie na słupie (rdzeń: aluminium, nasadka: tworzywo sztuczne), kolor biały, Obsługiwane produkty: PNV-A6081R/A9081R, XNV-8082R/9082R, XNV-6083R/8083R/8093R/9083R,XNV-6123R, XNV-6083Z/8083Z, XNV-6083RZ/8083RZ/9083RZ,PND-A6081RV/A9081RV, XND-8082RV/9082RV, XNF-9010RV/9013RV,XND-6083RV/8083RV/8093RV/9083RV, XNO-6083R/8083R/9083R, XND-C6083RV/C7083RV/C8083RV/C9083RV, XNO-C6083R/C8083R/C9083R, XNV-C6083R/C7083R/C8083R/C9083R</v>
      </c>
      <c r="K616" s="43" t="s">
        <v>21</v>
      </c>
      <c r="L616" s="44">
        <v>70.0</v>
      </c>
      <c r="M616" s="8"/>
      <c r="N616" s="45" t="s">
        <v>22</v>
      </c>
      <c r="O616" s="97"/>
      <c r="P616" s="36"/>
      <c r="Q616" s="35"/>
      <c r="R616" s="68"/>
      <c r="S616" s="68"/>
      <c r="T616" s="68"/>
      <c r="U616" s="35"/>
      <c r="V616" s="35"/>
      <c r="W616" s="35"/>
      <c r="X616" s="35"/>
      <c r="Y616" s="35"/>
      <c r="Z616" s="35"/>
      <c r="AA616" s="35"/>
      <c r="AB616" s="35"/>
      <c r="AC616" s="60"/>
      <c r="AD616" s="85"/>
      <c r="AE616" s="85"/>
      <c r="AF616" s="85"/>
      <c r="AG616" s="85"/>
      <c r="AH616" s="85"/>
      <c r="AI616" s="85"/>
      <c r="AJ616" s="85"/>
      <c r="AK616" s="85"/>
      <c r="AL616" s="85"/>
      <c r="AM616" s="85"/>
      <c r="AN616" s="85"/>
      <c r="AO616" s="85"/>
      <c r="AP616" s="85"/>
    </row>
    <row r="617" ht="79.5" customHeight="1">
      <c r="A617" s="29"/>
      <c r="B617" s="38" t="s">
        <v>23</v>
      </c>
      <c r="C617" s="39" t="s">
        <v>1722</v>
      </c>
      <c r="D617" s="40" t="s">
        <v>1665</v>
      </c>
      <c r="E617" s="118"/>
      <c r="F617" s="40"/>
      <c r="G617" s="39"/>
      <c r="H617" s="41" t="s">
        <v>79</v>
      </c>
      <c r="I617" s="48" t="s">
        <v>1723</v>
      </c>
      <c r="J617" s="42" t="str">
        <f>IFERROR(__xludf.DUMMYFUNCTION("GOOGLETRANSLATE(I617,""en"",""pl"")"),"Mocowanie na słupie (rdzeń: aluminium, nasadka: tworzywo sztuczne), kolor biały, Obsługiwane produkty: QNV-C8083R/C9083R, QNV-C8011R/C8012/C9011R,
QND-6012R(1)/22R(1)/72R(1)/82R(1), QND-7012R/22R/82R, QNE-8011R/21R")</f>
        <v>Mocowanie na słupie (rdzeń: aluminium, nasadka: tworzywo sztuczne), kolor biały, Obsługiwane produkty: QNV-C8083R/C9083R, QNV-C8011R/C8012/C9011R,
QND-6012R(1)/22R(1)/72R(1)/82R(1), QND-7012R/22R/82R, QNE-8011R/21R</v>
      </c>
      <c r="K617" s="43" t="s">
        <v>21</v>
      </c>
      <c r="L617" s="44">
        <v>49.0</v>
      </c>
      <c r="M617" s="8"/>
      <c r="N617" s="45" t="s">
        <v>22</v>
      </c>
      <c r="O617" s="97"/>
      <c r="P617" s="36"/>
      <c r="Q617" s="35"/>
      <c r="R617" s="68"/>
      <c r="S617" s="68"/>
      <c r="T617" s="68"/>
      <c r="U617" s="35"/>
      <c r="V617" s="35"/>
      <c r="W617" s="35"/>
      <c r="X617" s="35"/>
      <c r="Y617" s="35"/>
      <c r="Z617" s="35"/>
      <c r="AA617" s="35"/>
      <c r="AB617" s="35"/>
      <c r="AC617" s="60"/>
      <c r="AD617" s="85"/>
      <c r="AE617" s="85"/>
      <c r="AF617" s="85"/>
      <c r="AG617" s="85"/>
      <c r="AH617" s="85"/>
      <c r="AI617" s="85"/>
      <c r="AJ617" s="85"/>
      <c r="AK617" s="85"/>
      <c r="AL617" s="85"/>
      <c r="AM617" s="85"/>
      <c r="AN617" s="85"/>
      <c r="AO617" s="85"/>
      <c r="AP617" s="85"/>
    </row>
    <row r="618" ht="79.5" customHeight="1">
      <c r="A618" s="29"/>
      <c r="B618" s="38" t="s">
        <v>23</v>
      </c>
      <c r="C618" s="39" t="s">
        <v>1724</v>
      </c>
      <c r="D618" s="40" t="s">
        <v>1725</v>
      </c>
      <c r="E618" s="118"/>
      <c r="F618" s="40"/>
      <c r="G618" s="39"/>
      <c r="H618" s="41" t="s">
        <v>79</v>
      </c>
      <c r="I618" s="48" t="s">
        <v>1726</v>
      </c>
      <c r="J618" s="42" t="str">
        <f>IFERROR(__xludf.DUMMYFUNCTION("GOOGLETRANSLATE(I618,""en"",""pl"")"),"Uchwyt narożny, SUS304, biały, Obsługiwane produkty: QNV-C8011R/C8012/C9011R, QNV-C8083R/C9083R, QND-6011/6021, QND-8011/8021, QNF-8010/9010, QND-6012R(1)/6022R(1)/6072R(1)/6082R(1), QND-7012R/7022R/7082R, QNE-8011R/8021R, LND-6012R/6022R/6072R,ANE-L6012R"&amp;"/L7012R")</f>
        <v>Uchwyt narożny, SUS304, biały, Obsługiwane produkty: QNV-C8011R/C8012/C9011R, QNV-C8083R/C9083R, QND-6011/6021, QND-8011/8021, QNF-8010/9010, QND-6012R(1)/6022R(1)/6072R(1)/6082R(1), QND-7012R/7022R/7082R, QNE-8011R/8021R, LND-6012R/6022R/6072R,ANE-L6012R/L7012R</v>
      </c>
      <c r="K618" s="43" t="s">
        <v>21</v>
      </c>
      <c r="L618" s="44">
        <v>70.0</v>
      </c>
      <c r="M618" s="8"/>
      <c r="N618" s="45" t="s">
        <v>22</v>
      </c>
      <c r="O618" s="97"/>
      <c r="P618" s="36"/>
      <c r="Q618" s="35"/>
      <c r="R618" s="68"/>
      <c r="S618" s="68"/>
      <c r="T618" s="68"/>
      <c r="U618" s="35"/>
      <c r="V618" s="35"/>
      <c r="W618" s="35"/>
      <c r="X618" s="35"/>
      <c r="Y618" s="35"/>
      <c r="Z618" s="35"/>
      <c r="AA618" s="35"/>
      <c r="AB618" s="35"/>
      <c r="AC618" s="60"/>
      <c r="AD618" s="85"/>
      <c r="AE618" s="85"/>
      <c r="AF618" s="85"/>
      <c r="AG618" s="85"/>
      <c r="AH618" s="85"/>
      <c r="AI618" s="85"/>
      <c r="AJ618" s="85"/>
      <c r="AK618" s="85"/>
      <c r="AL618" s="85"/>
      <c r="AM618" s="85"/>
      <c r="AN618" s="85"/>
      <c r="AO618" s="85"/>
      <c r="AP618" s="85"/>
    </row>
    <row r="619" ht="79.5" customHeight="1">
      <c r="A619" s="29"/>
      <c r="B619" s="38" t="s">
        <v>23</v>
      </c>
      <c r="C619" s="39" t="s">
        <v>1727</v>
      </c>
      <c r="D619" s="40" t="s">
        <v>1665</v>
      </c>
      <c r="E619" s="118"/>
      <c r="F619" s="40"/>
      <c r="G619" s="39"/>
      <c r="H619" s="41" t="s">
        <v>79</v>
      </c>
      <c r="I619" s="48" t="s">
        <v>1728</v>
      </c>
      <c r="J619" s="42" t="str">
        <f>IFERROR(__xludf.DUMMYFUNCTION("GOOGLETRANSLATE(I619,""en"",""pl"")"),"Mocowanie na słupie, SUS304, białe, Obsługiwane produkty: QNV-C8011R/C8012/C9011R, QNV-C8083R/C9083R, QND-6011/6021, QND-8011/8021, QNF-8010/9010, QND-6012R(1)/6022R(1)/6072R(1)/6082R(1), QND-7012R/7022R/7082R, QNE-8011R/8021R, LND-6012R/6022R/6072R,ANE-L"&amp;"6012R/L7012R")</f>
        <v>Mocowanie na słupie, SUS304, białe, Obsługiwane produkty: QNV-C8011R/C8012/C9011R, QNV-C8083R/C9083R, QND-6011/6021, QND-8011/8021, QNF-8010/9010, QND-6012R(1)/6022R(1)/6072R(1)/6082R(1), QND-7012R/7022R/7082R, QNE-8011R/8021R, LND-6012R/6022R/6072R,ANE-L6012R/L7012R</v>
      </c>
      <c r="K619" s="43" t="s">
        <v>21</v>
      </c>
      <c r="L619" s="44">
        <v>70.0</v>
      </c>
      <c r="M619" s="8"/>
      <c r="N619" s="45" t="s">
        <v>22</v>
      </c>
      <c r="O619" s="97"/>
      <c r="P619" s="36"/>
      <c r="Q619" s="35"/>
      <c r="R619" s="68"/>
      <c r="S619" s="68"/>
      <c r="T619" s="68"/>
      <c r="U619" s="35"/>
      <c r="V619" s="35"/>
      <c r="W619" s="35"/>
      <c r="X619" s="35"/>
      <c r="Y619" s="35"/>
      <c r="Z619" s="35"/>
      <c r="AA619" s="35"/>
      <c r="AB619" s="35"/>
      <c r="AC619" s="60"/>
      <c r="AD619" s="85"/>
      <c r="AE619" s="85"/>
      <c r="AF619" s="85"/>
      <c r="AG619" s="85"/>
      <c r="AH619" s="85"/>
      <c r="AI619" s="85"/>
      <c r="AJ619" s="85"/>
      <c r="AK619" s="85"/>
      <c r="AL619" s="85"/>
      <c r="AM619" s="85"/>
      <c r="AN619" s="85"/>
      <c r="AO619" s="85"/>
      <c r="AP619" s="85"/>
    </row>
    <row r="620" ht="79.5" customHeight="1">
      <c r="A620" s="29"/>
      <c r="B620" s="38" t="s">
        <v>23</v>
      </c>
      <c r="C620" s="39" t="s">
        <v>1729</v>
      </c>
      <c r="D620" s="40" t="s">
        <v>1730</v>
      </c>
      <c r="E620" s="118"/>
      <c r="F620" s="40"/>
      <c r="G620" s="39"/>
      <c r="H620" s="41" t="s">
        <v>79</v>
      </c>
      <c r="I620" s="48" t="s">
        <v>1731</v>
      </c>
      <c r="J620" s="42" t="str">
        <f>IFERROR(__xludf.DUMMYFUNCTION("GOOGLETRANSLATE(I620,""en"",""pl"")"),"Płytka adaptera do kamer pojedynczych, podwójnych, ośmiokątnych 4"", obsługiwanych przez: QNV-C8011R/C8012/C9011R, QND-6011/21, 8011/21, QNF-8010, 9010, LND-6012R/22R, QND-6012R/22R, 7012R/22R, QNE-8011R/21R, ANE-L6012R, L7012R")</f>
        <v>Płytka adaptera do kamer pojedynczych, podwójnych, ośmiokątnych 4", obsługiwanych przez: QNV-C8011R/C8012/C9011R, QND-6011/21, 8011/21, QNF-8010, 9010, LND-6012R/22R, QND-6012R/22R, 7012R/22R, QNE-8011R/21R, ANE-L6012R, L7012R</v>
      </c>
      <c r="K620" s="43" t="s">
        <v>21</v>
      </c>
      <c r="L620" s="44">
        <v>20.0</v>
      </c>
      <c r="M620" s="8"/>
      <c r="N620" s="45" t="s">
        <v>22</v>
      </c>
      <c r="O620" s="97"/>
      <c r="P620" s="36"/>
      <c r="Q620" s="35"/>
      <c r="R620" s="68"/>
      <c r="S620" s="68"/>
      <c r="T620" s="68"/>
      <c r="U620" s="35"/>
      <c r="V620" s="35"/>
      <c r="W620" s="35"/>
      <c r="X620" s="35"/>
      <c r="Y620" s="35"/>
      <c r="Z620" s="35"/>
      <c r="AA620" s="35"/>
      <c r="AB620" s="35"/>
      <c r="AC620" s="60"/>
      <c r="AD620" s="85"/>
      <c r="AE620" s="85"/>
      <c r="AF620" s="85"/>
      <c r="AG620" s="85"/>
      <c r="AH620" s="85"/>
      <c r="AI620" s="85"/>
      <c r="AJ620" s="85"/>
      <c r="AK620" s="85"/>
      <c r="AL620" s="85"/>
      <c r="AM620" s="85"/>
      <c r="AN620" s="85"/>
      <c r="AO620" s="85"/>
      <c r="AP620" s="85"/>
    </row>
    <row r="621" ht="79.5" customHeight="1">
      <c r="A621" s="29"/>
      <c r="B621" s="38" t="s">
        <v>23</v>
      </c>
      <c r="C621" s="39" t="s">
        <v>1732</v>
      </c>
      <c r="D621" s="40" t="s">
        <v>1730</v>
      </c>
      <c r="E621" s="118"/>
      <c r="F621" s="40"/>
      <c r="G621" s="39"/>
      <c r="H621" s="41" t="s">
        <v>79</v>
      </c>
      <c r="I621" s="48" t="s">
        <v>1733</v>
      </c>
      <c r="J621" s="42" t="str">
        <f>IFERROR(__xludf.DUMMYFUNCTION("GOOGLETRANSLATE(I621,""en"",""pl"")"),"Płyta adaptera (do pocisków) Płyta adaptera do pojedynczych, podwójnych i 4-calowych ośmiokątów Kompatybilna z QNO-C8083R / QNO-C9083R / ANO-L6012R / ANO-L6022R / ANO-L6082R / ANO-L7012R / ANO-L7022R / ANO-L7082R")</f>
        <v>Płyta adaptera (do pocisków) Płyta adaptera do pojedynczych, podwójnych i 4-calowych ośmiokątów Kompatybilna z QNO-C8083R / QNO-C9083R / ANO-L6012R / ANO-L6022R / ANO-L6082R / ANO-L7012R / ANO-L7022R / ANO-L7082R</v>
      </c>
      <c r="K621" s="43" t="s">
        <v>21</v>
      </c>
      <c r="L621" s="44">
        <v>20.0</v>
      </c>
      <c r="M621" s="8"/>
      <c r="N621" s="45" t="s">
        <v>22</v>
      </c>
      <c r="O621" s="97"/>
      <c r="P621" s="36"/>
      <c r="Q621" s="35"/>
      <c r="R621" s="68"/>
      <c r="S621" s="68"/>
      <c r="T621" s="68"/>
      <c r="U621" s="35"/>
      <c r="V621" s="35"/>
      <c r="W621" s="35"/>
      <c r="X621" s="35"/>
      <c r="Y621" s="35"/>
      <c r="Z621" s="35"/>
      <c r="AA621" s="35"/>
      <c r="AB621" s="35"/>
      <c r="AC621" s="60"/>
      <c r="AD621" s="85"/>
      <c r="AE621" s="85"/>
      <c r="AF621" s="85"/>
      <c r="AG621" s="85"/>
      <c r="AH621" s="85"/>
      <c r="AI621" s="85"/>
      <c r="AJ621" s="85"/>
      <c r="AK621" s="85"/>
      <c r="AL621" s="85"/>
      <c r="AM621" s="85"/>
      <c r="AN621" s="85"/>
      <c r="AO621" s="85"/>
      <c r="AP621" s="85"/>
    </row>
    <row r="622" ht="79.5" customHeight="1">
      <c r="A622" s="29"/>
      <c r="B622" s="38" t="s">
        <v>23</v>
      </c>
      <c r="C622" s="39" t="s">
        <v>1734</v>
      </c>
      <c r="D622" s="40" t="s">
        <v>1730</v>
      </c>
      <c r="E622" s="118"/>
      <c r="F622" s="40"/>
      <c r="G622" s="39"/>
      <c r="H622" s="41" t="s">
        <v>79</v>
      </c>
      <c r="I622" s="48" t="s">
        <v>1735</v>
      </c>
      <c r="J622" s="42" t="str">
        <f>IFERROR(__xludf.DUMMYFUNCTION("GOOGLETRANSLATE(I622,""en"",""pl"")"),"Płytka adaptera ściennego umożliwiająca kompatybilność kamery Q-Core z SBP-137WMW i SBP-137WMW1")</f>
        <v>Płytka adaptera ściennego umożliwiająca kompatybilność kamery Q-Core z SBP-137WMW i SBP-137WMW1</v>
      </c>
      <c r="K622" s="43" t="s">
        <v>21</v>
      </c>
      <c r="L622" s="44">
        <v>20.0</v>
      </c>
      <c r="M622" s="8"/>
      <c r="N622" s="45" t="s">
        <v>22</v>
      </c>
      <c r="O622" s="97"/>
      <c r="P622" s="36"/>
      <c r="Q622" s="35"/>
      <c r="R622" s="68"/>
      <c r="S622" s="68"/>
      <c r="T622" s="68"/>
      <c r="U622" s="35"/>
      <c r="V622" s="35"/>
      <c r="W622" s="35"/>
      <c r="X622" s="35"/>
      <c r="Y622" s="35"/>
      <c r="Z622" s="35"/>
      <c r="AA622" s="35"/>
      <c r="AB622" s="35"/>
      <c r="AC622" s="60"/>
      <c r="AD622" s="85"/>
      <c r="AE622" s="85"/>
      <c r="AF622" s="85"/>
      <c r="AG622" s="85"/>
      <c r="AH622" s="85"/>
      <c r="AI622" s="85"/>
      <c r="AJ622" s="85"/>
      <c r="AK622" s="85"/>
      <c r="AL622" s="85"/>
      <c r="AM622" s="85"/>
      <c r="AN622" s="85"/>
      <c r="AO622" s="85"/>
      <c r="AP622" s="85"/>
    </row>
    <row r="623" ht="79.5" customHeight="1">
      <c r="A623" s="29"/>
      <c r="B623" s="38" t="s">
        <v>23</v>
      </c>
      <c r="C623" s="39" t="s">
        <v>1736</v>
      </c>
      <c r="D623" s="40" t="s">
        <v>1665</v>
      </c>
      <c r="E623" s="118"/>
      <c r="F623" s="40"/>
      <c r="G623" s="39"/>
      <c r="H623" s="41" t="s">
        <v>79</v>
      </c>
      <c r="I623" s="48" t="s">
        <v>1737</v>
      </c>
      <c r="J623" s="42" t="str">
        <f>IFERROR(__xludf.DUMMYFUNCTION("GOOGLETRANSLATE(I623,""en"",""pl"")"),"Uchwyt na słup do kamer przeciwwybuchowych, kompatybilny z TNO-6322ER, TNU-6322E i TNU-6322ER")</f>
        <v>Uchwyt na słup do kamer przeciwwybuchowych, kompatybilny z TNO-6322ER, TNU-6322E i TNU-6322ER</v>
      </c>
      <c r="K623" s="43" t="s">
        <v>21</v>
      </c>
      <c r="L623" s="44">
        <v>592.0</v>
      </c>
      <c r="M623" s="8"/>
      <c r="N623" s="45" t="s">
        <v>22</v>
      </c>
      <c r="O623" s="97"/>
      <c r="P623" s="35"/>
      <c r="Q623" s="35"/>
      <c r="R623" s="68"/>
      <c r="S623" s="68"/>
      <c r="T623" s="68"/>
      <c r="U623" s="35"/>
      <c r="V623" s="35"/>
      <c r="W623" s="35"/>
      <c r="X623" s="35"/>
      <c r="Y623" s="35"/>
      <c r="Z623" s="35"/>
      <c r="AA623" s="35"/>
      <c r="AB623" s="35"/>
      <c r="AC623" s="101"/>
      <c r="AD623" s="98"/>
      <c r="AE623" s="98"/>
      <c r="AF623" s="98"/>
      <c r="AG623" s="98"/>
      <c r="AH623" s="98"/>
      <c r="AI623" s="98"/>
      <c r="AJ623" s="98"/>
      <c r="AK623" s="98"/>
      <c r="AL623" s="98"/>
      <c r="AM623" s="98"/>
      <c r="AN623" s="98"/>
      <c r="AO623" s="98"/>
      <c r="AP623" s="98"/>
    </row>
    <row r="624" ht="79.5" customHeight="1">
      <c r="A624" s="29"/>
      <c r="B624" s="38" t="s">
        <v>23</v>
      </c>
      <c r="C624" s="39" t="s">
        <v>1738</v>
      </c>
      <c r="D624" s="40" t="s">
        <v>1739</v>
      </c>
      <c r="E624" s="118"/>
      <c r="F624" s="40"/>
      <c r="G624" s="39"/>
      <c r="H624" s="41" t="s">
        <v>79</v>
      </c>
      <c r="I624" s="48" t="s">
        <v>1740</v>
      </c>
      <c r="J624" s="42" t="str">
        <f>IFERROR(__xludf.DUMMYFUNCTION("GOOGLETRANSLATE(I624,""en"",""pl"")"),"Adapter do montażu narożnego kompatybilny z SBP-156WMW dla XNP-9300RW/9250R/9250/8300RW/8250R/8250/6400RW/6400R/6400, biały")</f>
        <v>Adapter do montażu narożnego kompatybilny z SBP-156WMW dla XNP-9300RW/9250R/9250/8300RW/8250R/8250/6400RW/6400R/6400, biały</v>
      </c>
      <c r="K624" s="43" t="s">
        <v>21</v>
      </c>
      <c r="L624" s="44">
        <v>110.0</v>
      </c>
      <c r="M624" s="8"/>
      <c r="N624" s="45" t="s">
        <v>22</v>
      </c>
      <c r="O624" s="97"/>
      <c r="P624" s="35"/>
      <c r="Q624" s="35"/>
      <c r="R624" s="68"/>
      <c r="S624" s="68"/>
      <c r="T624" s="68"/>
      <c r="U624" s="35"/>
      <c r="V624" s="35"/>
      <c r="W624" s="35"/>
      <c r="X624" s="35"/>
      <c r="Y624" s="35"/>
      <c r="Z624" s="35"/>
      <c r="AA624" s="35"/>
      <c r="AB624" s="35"/>
      <c r="AC624" s="101"/>
      <c r="AD624" s="98"/>
      <c r="AE624" s="98"/>
      <c r="AF624" s="98"/>
      <c r="AG624" s="98"/>
      <c r="AH624" s="98"/>
      <c r="AI624" s="98"/>
      <c r="AJ624" s="98"/>
      <c r="AK624" s="98"/>
      <c r="AL624" s="98"/>
      <c r="AM624" s="98"/>
      <c r="AN624" s="98"/>
      <c r="AO624" s="98"/>
      <c r="AP624" s="98"/>
    </row>
    <row r="625" ht="79.5" customHeight="1">
      <c r="A625" s="29"/>
      <c r="B625" s="38" t="s">
        <v>23</v>
      </c>
      <c r="C625" s="39" t="s">
        <v>1741</v>
      </c>
      <c r="D625" s="40" t="s">
        <v>1742</v>
      </c>
      <c r="E625" s="118"/>
      <c r="F625" s="40"/>
      <c r="G625" s="39"/>
      <c r="H625" s="41" t="s">
        <v>79</v>
      </c>
      <c r="I625" s="48" t="s">
        <v>1743</v>
      </c>
      <c r="J625" s="42" t="str">
        <f>IFERROR(__xludf.DUMMYFUNCTION("GOOGLETRANSLATE(I625,""en"",""pl"")"),"Adapter do montażu narożnego, aluminiowy, kość słoniowa")</f>
        <v>Adapter do montażu narożnego, aluminiowy, kość słoniowa</v>
      </c>
      <c r="K625" s="43" t="s">
        <v>21</v>
      </c>
      <c r="L625" s="44">
        <v>68.0</v>
      </c>
      <c r="M625" s="8"/>
      <c r="N625" s="45" t="s">
        <v>22</v>
      </c>
      <c r="O625" s="97"/>
      <c r="P625" s="36"/>
      <c r="Q625" s="35"/>
      <c r="R625" s="68"/>
      <c r="S625" s="68"/>
      <c r="T625" s="68"/>
      <c r="U625" s="35"/>
      <c r="V625" s="35"/>
      <c r="W625" s="35"/>
      <c r="X625" s="35"/>
      <c r="Y625" s="35"/>
      <c r="Z625" s="35"/>
      <c r="AA625" s="35"/>
      <c r="AB625" s="35"/>
      <c r="AC625" s="60"/>
      <c r="AD625" s="85"/>
      <c r="AE625" s="85"/>
      <c r="AF625" s="85"/>
      <c r="AG625" s="85"/>
      <c r="AH625" s="85"/>
      <c r="AI625" s="85"/>
      <c r="AJ625" s="85"/>
      <c r="AK625" s="85"/>
      <c r="AL625" s="85"/>
      <c r="AM625" s="85"/>
      <c r="AN625" s="85"/>
      <c r="AO625" s="85"/>
      <c r="AP625" s="85"/>
    </row>
    <row r="626" ht="79.5" customHeight="1">
      <c r="A626" s="29"/>
      <c r="B626" s="38" t="s">
        <v>23</v>
      </c>
      <c r="C626" s="39" t="s">
        <v>1744</v>
      </c>
      <c r="D626" s="40" t="s">
        <v>1742</v>
      </c>
      <c r="E626" s="118"/>
      <c r="F626" s="40"/>
      <c r="G626" s="39"/>
      <c r="H626" s="41" t="s">
        <v>79</v>
      </c>
      <c r="I626" s="48" t="s">
        <v>1745</v>
      </c>
      <c r="J626" s="42" t="str">
        <f>IFERROR(__xludf.DUMMYFUNCTION("GOOGLETRANSLATE(I626,""en"",""pl"")"),"Adapter do montażu narożnego, aluminiowy, QNV-6012R1/6022R1/6032R16082R1, QND-6012R1/6022R1/6032R1/6082R1biały")</f>
        <v>Adapter do montażu narożnego, aluminiowy, QNV-6012R1/6022R1/6032R16082R1, QND-6012R1/6022R1/6032R1/6082R1biały</v>
      </c>
      <c r="K626" s="43" t="s">
        <v>21</v>
      </c>
      <c r="L626" s="44">
        <v>68.0</v>
      </c>
      <c r="M626" s="8"/>
      <c r="N626" s="45" t="s">
        <v>22</v>
      </c>
      <c r="O626" s="97"/>
      <c r="P626" s="36"/>
      <c r="Q626" s="35"/>
      <c r="R626" s="68"/>
      <c r="S626" s="68"/>
      <c r="T626" s="68"/>
      <c r="U626" s="35"/>
      <c r="V626" s="35"/>
      <c r="W626" s="35"/>
      <c r="X626" s="35"/>
      <c r="Y626" s="35"/>
      <c r="Z626" s="35"/>
      <c r="AA626" s="35"/>
      <c r="AB626" s="35"/>
      <c r="AC626" s="60"/>
      <c r="AD626" s="85"/>
      <c r="AE626" s="85"/>
      <c r="AF626" s="85"/>
      <c r="AG626" s="85"/>
      <c r="AH626" s="85"/>
      <c r="AI626" s="85"/>
      <c r="AJ626" s="85"/>
      <c r="AK626" s="85"/>
      <c r="AL626" s="85"/>
      <c r="AM626" s="85"/>
      <c r="AN626" s="85"/>
      <c r="AO626" s="85"/>
      <c r="AP626" s="85"/>
    </row>
    <row r="627" ht="79.5" customHeight="1">
      <c r="A627" s="29"/>
      <c r="B627" s="38" t="s">
        <v>23</v>
      </c>
      <c r="C627" s="39" t="s">
        <v>1746</v>
      </c>
      <c r="D627" s="40" t="s">
        <v>1747</v>
      </c>
      <c r="E627" s="118"/>
      <c r="F627" s="40"/>
      <c r="G627" s="39"/>
      <c r="H627" s="41" t="s">
        <v>79</v>
      </c>
      <c r="I627" s="48" t="s">
        <v>1748</v>
      </c>
      <c r="J627" s="42" t="str">
        <f>IFERROR(__xludf.DUMMYFUNCTION("GOOGLETRANSLATE(I627,""en"",""pl"")"),"Adapter do montażu narożnego ze stali nierdzewnej, kompatybilny z SBP-300WMS i SBP-300WMS1")</f>
        <v>Adapter do montażu narożnego ze stali nierdzewnej, kompatybilny z SBP-300WMS i SBP-300WMS1</v>
      </c>
      <c r="K627" s="43" t="s">
        <v>21</v>
      </c>
      <c r="L627" s="44">
        <v>138.0</v>
      </c>
      <c r="M627" s="8"/>
      <c r="N627" s="45" t="s">
        <v>22</v>
      </c>
      <c r="O627" s="97"/>
      <c r="P627" s="36"/>
      <c r="Q627" s="35"/>
      <c r="R627" s="68"/>
      <c r="S627" s="68"/>
      <c r="T627" s="68"/>
      <c r="U627" s="35"/>
      <c r="V627" s="35"/>
      <c r="W627" s="35"/>
      <c r="X627" s="35"/>
      <c r="Y627" s="35"/>
      <c r="Z627" s="35"/>
      <c r="AA627" s="35"/>
      <c r="AB627" s="35"/>
      <c r="AC627" s="60"/>
      <c r="AD627" s="85"/>
      <c r="AE627" s="85"/>
      <c r="AF627" s="85"/>
      <c r="AG627" s="85"/>
      <c r="AH627" s="85"/>
      <c r="AI627" s="85"/>
      <c r="AJ627" s="85"/>
      <c r="AK627" s="85"/>
      <c r="AL627" s="85"/>
      <c r="AM627" s="85"/>
      <c r="AN627" s="85"/>
      <c r="AO627" s="85"/>
      <c r="AP627" s="85"/>
    </row>
    <row r="628" ht="79.5" customHeight="1">
      <c r="A628" s="29"/>
      <c r="B628" s="38" t="s">
        <v>23</v>
      </c>
      <c r="C628" s="39" t="s">
        <v>1749</v>
      </c>
      <c r="D628" s="40" t="s">
        <v>1750</v>
      </c>
      <c r="E628" s="118"/>
      <c r="F628" s="40"/>
      <c r="G628" s="39"/>
      <c r="H628" s="41" t="s">
        <v>79</v>
      </c>
      <c r="I628" s="48" t="s">
        <v>1751</v>
      </c>
      <c r="J628" s="42" t="str">
        <f>IFERROR(__xludf.DUMMYFUNCTION("GOOGLETRANSLATE(I628,""en"",""pl"")"),"Aluminiowy element do montażu wiszącego. Kompatybilny z XNP-9300RW/9250R/9250/8300RW/8250R/8250/6400RW/6400R/6400 i innymi akcesoriami z gwintem PF 1-1/2"", kolor biały.")</f>
        <v>Aluminiowy element do montażu wiszącego. Kompatybilny z XNP-9300RW/9250R/9250/8300RW/8250R/8250/6400RW/6400R/6400 i innymi akcesoriami z gwintem PF 1-1/2", kolor biały.</v>
      </c>
      <c r="K628" s="43" t="s">
        <v>21</v>
      </c>
      <c r="L628" s="44">
        <v>255.0</v>
      </c>
      <c r="M628" s="8"/>
      <c r="N628" s="45" t="s">
        <v>22</v>
      </c>
      <c r="O628" s="97"/>
      <c r="P628" s="36"/>
      <c r="Q628" s="35"/>
      <c r="R628" s="68"/>
      <c r="S628" s="68"/>
      <c r="T628" s="68"/>
      <c r="U628" s="35"/>
      <c r="V628" s="35"/>
      <c r="W628" s="35"/>
      <c r="X628" s="35"/>
      <c r="Y628" s="35"/>
      <c r="Z628" s="35"/>
      <c r="AA628" s="35"/>
      <c r="AB628" s="35"/>
      <c r="AC628" s="60"/>
      <c r="AD628" s="85"/>
      <c r="AE628" s="85"/>
      <c r="AF628" s="85"/>
      <c r="AG628" s="85"/>
      <c r="AH628" s="85"/>
      <c r="AI628" s="85"/>
      <c r="AJ628" s="85"/>
      <c r="AK628" s="85"/>
      <c r="AL628" s="85"/>
      <c r="AM628" s="85"/>
      <c r="AN628" s="85"/>
      <c r="AO628" s="85"/>
      <c r="AP628" s="85"/>
    </row>
    <row r="629" ht="79.5" customHeight="1">
      <c r="A629" s="29"/>
      <c r="B629" s="38" t="s">
        <v>23</v>
      </c>
      <c r="C629" s="39" t="s">
        <v>1752</v>
      </c>
      <c r="D629" s="40" t="s">
        <v>1753</v>
      </c>
      <c r="E629" s="118"/>
      <c r="F629" s="40"/>
      <c r="G629" s="39"/>
      <c r="H629" s="41" t="s">
        <v>79</v>
      </c>
      <c r="I629" s="48" t="s">
        <v>1754</v>
      </c>
      <c r="J629" s="42" t="str">
        <f>IFERROR(__xludf.DUMMYFUNCTION("GOOGLETRANSLATE(I629,""en"",""pl"")"),"Puszka tylna pasująca do teleskopowego uchwytu wiszącego SBP-302CMW, kolor biały")</f>
        <v>Puszka tylna pasująca do teleskopowego uchwytu wiszącego SBP-302CMW, kolor biały</v>
      </c>
      <c r="K629" s="43" t="s">
        <v>21</v>
      </c>
      <c r="L629" s="44">
        <v>180.0</v>
      </c>
      <c r="M629" s="8"/>
      <c r="N629" s="45" t="s">
        <v>22</v>
      </c>
      <c r="O629" s="97"/>
      <c r="P629" s="35"/>
      <c r="Q629" s="35"/>
      <c r="R629" s="68"/>
      <c r="S629" s="68"/>
      <c r="T629" s="68"/>
      <c r="U629" s="35"/>
      <c r="V629" s="35"/>
      <c r="W629" s="35"/>
      <c r="X629" s="35"/>
      <c r="Y629" s="35"/>
      <c r="Z629" s="35"/>
      <c r="AA629" s="35"/>
      <c r="AB629" s="35"/>
      <c r="AC629" s="101"/>
      <c r="AD629" s="98"/>
      <c r="AE629" s="98"/>
      <c r="AF629" s="98"/>
      <c r="AG629" s="98"/>
      <c r="AH629" s="98"/>
      <c r="AI629" s="98"/>
      <c r="AJ629" s="98"/>
      <c r="AK629" s="98"/>
      <c r="AL629" s="98"/>
      <c r="AM629" s="98"/>
      <c r="AN629" s="98"/>
      <c r="AO629" s="98"/>
      <c r="AP629" s="98"/>
    </row>
    <row r="630" ht="79.5" customHeight="1">
      <c r="A630" s="29"/>
      <c r="B630" s="38" t="s">
        <v>23</v>
      </c>
      <c r="C630" s="39" t="s">
        <v>1755</v>
      </c>
      <c r="D630" s="40" t="s">
        <v>1753</v>
      </c>
      <c r="E630" s="118"/>
      <c r="F630" s="40"/>
      <c r="G630" s="39"/>
      <c r="H630" s="41" t="s">
        <v>79</v>
      </c>
      <c r="I630" s="48" t="s">
        <v>1756</v>
      </c>
      <c r="J630" s="42" t="str">
        <f>IFERROR(__xludf.DUMMYFUNCTION("GOOGLETRANSLATE(I630,""en"",""pl"")"),"Aluminiowy uchwyt wiszący, kość słoniowa, można stosować z uchwytem wiszącym i zewnętrznym PTZ")</f>
        <v>Aluminiowy uchwyt wiszący, kość słoniowa, można stosować z uchwytem wiszącym i zewnętrznym PTZ</v>
      </c>
      <c r="K630" s="43" t="s">
        <v>21</v>
      </c>
      <c r="L630" s="44">
        <v>44.0</v>
      </c>
      <c r="M630" s="8"/>
      <c r="N630" s="45" t="s">
        <v>22</v>
      </c>
      <c r="O630" s="97"/>
      <c r="P630" s="36"/>
      <c r="Q630" s="35"/>
      <c r="R630" s="68"/>
      <c r="S630" s="68"/>
      <c r="T630" s="68"/>
      <c r="U630" s="35"/>
      <c r="V630" s="35"/>
      <c r="W630" s="35"/>
      <c r="X630" s="35"/>
      <c r="Y630" s="35"/>
      <c r="Z630" s="35"/>
      <c r="AA630" s="35"/>
      <c r="AB630" s="35"/>
      <c r="AC630" s="60"/>
      <c r="AD630" s="85"/>
      <c r="AE630" s="85"/>
      <c r="AF630" s="85"/>
      <c r="AG630" s="85"/>
      <c r="AH630" s="85"/>
      <c r="AI630" s="85"/>
      <c r="AJ630" s="85"/>
      <c r="AK630" s="85"/>
      <c r="AL630" s="85"/>
      <c r="AM630" s="85"/>
      <c r="AN630" s="85"/>
      <c r="AO630" s="85"/>
      <c r="AP630" s="85"/>
    </row>
    <row r="631" ht="79.5" customHeight="1">
      <c r="A631" s="29"/>
      <c r="B631" s="38" t="s">
        <v>23</v>
      </c>
      <c r="C631" s="39" t="s">
        <v>1757</v>
      </c>
      <c r="D631" s="40" t="s">
        <v>1753</v>
      </c>
      <c r="E631" s="118"/>
      <c r="F631" s="40"/>
      <c r="G631" s="39"/>
      <c r="H631" s="41" t="s">
        <v>1758</v>
      </c>
      <c r="I631" s="48" t="s">
        <v>1759</v>
      </c>
      <c r="J631" s="42" t="str">
        <f>IFERROR(__xludf.DUMMYFUNCTION("GOOGLETRANSLATE(I631,""en"",""pl"")"),"Aluminiowy uchwyt sufitowy, można stosować z uchwytem wiszącym i zewnętrznym PTZ, QNV-6012R1/6022R1/6032R1/6082R1, QND-6012R1/6022R1/6032R1/6082R1, biały")</f>
        <v>Aluminiowy uchwyt sufitowy, można stosować z uchwytem wiszącym i zewnętrznym PTZ, QNV-6012R1/6022R1/6032R1/6082R1, QND-6012R1/6022R1/6032R1/6082R1, biały</v>
      </c>
      <c r="K631" s="43" t="s">
        <v>21</v>
      </c>
      <c r="L631" s="44">
        <v>46.0</v>
      </c>
      <c r="M631" s="8"/>
      <c r="N631" s="45" t="s">
        <v>22</v>
      </c>
      <c r="O631" s="97"/>
      <c r="P631" s="36"/>
      <c r="Q631" s="35"/>
      <c r="R631" s="68"/>
      <c r="S631" s="68"/>
      <c r="T631" s="68"/>
      <c r="U631" s="35"/>
      <c r="V631" s="35"/>
      <c r="W631" s="35"/>
      <c r="X631" s="35"/>
      <c r="Y631" s="35"/>
      <c r="Z631" s="35"/>
      <c r="AA631" s="35"/>
      <c r="AB631" s="35"/>
      <c r="AC631" s="60"/>
      <c r="AD631" s="85"/>
      <c r="AE631" s="85"/>
      <c r="AF631" s="85"/>
      <c r="AG631" s="85"/>
      <c r="AH631" s="85"/>
      <c r="AI631" s="85"/>
      <c r="AJ631" s="85"/>
      <c r="AK631" s="85"/>
      <c r="AL631" s="85"/>
      <c r="AM631" s="85"/>
      <c r="AN631" s="85"/>
      <c r="AO631" s="85"/>
      <c r="AP631" s="85"/>
    </row>
    <row r="632" ht="79.5" customHeight="1">
      <c r="A632" s="29"/>
      <c r="B632" s="38" t="s">
        <v>23</v>
      </c>
      <c r="C632" s="39" t="s">
        <v>1760</v>
      </c>
      <c r="D632" s="40" t="s">
        <v>1753</v>
      </c>
      <c r="E632" s="118"/>
      <c r="F632" s="40"/>
      <c r="G632" s="39"/>
      <c r="H632" s="41" t="s">
        <v>79</v>
      </c>
      <c r="I632" s="48" t="s">
        <v>1761</v>
      </c>
      <c r="J632" s="42" t="str">
        <f>IFERROR(__xludf.DUMMYFUNCTION("GOOGLETRANSLATE(I632,""en"",""pl"")"),"Uchwyt sufitowy, aluminiowy, biały, kompatybilny z adapterami wiszącymi, takimi jak SBP-120HMW/140HMW/160HMW1/180HMW1 itp., oraz z przedłużkami do rur, takimi jak SBP-C15P, SBP-150CMP/300CMP/900CMP.
※ Aby zapoznać się z listą kompatybilnych modeli, odwied"&amp;"ź naszą stronę internetową lub skorzystaj z zestawu narzędzi.")</f>
        <v>Uchwyt sufitowy, aluminiowy, biały, kompatybilny z adapterami wiszącymi, takimi jak SBP-120HMW/140HMW/160HMW1/180HMW1 itp., oraz z przedłużkami do rur, takimi jak SBP-C15P, SBP-150CMP/300CMP/900CMP.
※ Aby zapoznać się z listą kompatybilnych modeli, odwiedź naszą stronę internetową lub skorzystaj z zestawu narzędzi.</v>
      </c>
      <c r="K632" s="43" t="s">
        <v>21</v>
      </c>
      <c r="L632" s="44">
        <v>180.0</v>
      </c>
      <c r="M632" s="8"/>
      <c r="N632" s="45" t="s">
        <v>22</v>
      </c>
      <c r="O632" s="97"/>
      <c r="P632" s="36"/>
      <c r="Q632" s="35"/>
      <c r="R632" s="68"/>
      <c r="S632" s="68"/>
      <c r="T632" s="68"/>
      <c r="U632" s="35"/>
      <c r="V632" s="35"/>
      <c r="W632" s="35"/>
      <c r="X632" s="35"/>
      <c r="Y632" s="35"/>
      <c r="Z632" s="35"/>
      <c r="AA632" s="35"/>
      <c r="AB632" s="35"/>
      <c r="AC632" s="60"/>
      <c r="AD632" s="85"/>
      <c r="AE632" s="85"/>
      <c r="AF632" s="85"/>
      <c r="AG632" s="85"/>
      <c r="AH632" s="85"/>
      <c r="AI632" s="85"/>
      <c r="AJ632" s="85"/>
      <c r="AK632" s="85"/>
      <c r="AL632" s="85"/>
      <c r="AM632" s="85"/>
      <c r="AN632" s="85"/>
      <c r="AO632" s="85"/>
      <c r="AP632" s="85"/>
    </row>
    <row r="633" ht="79.5" customHeight="1">
      <c r="A633" s="29"/>
      <c r="B633" s="38" t="s">
        <v>23</v>
      </c>
      <c r="C633" s="39" t="s">
        <v>1762</v>
      </c>
      <c r="D633" s="40" t="s">
        <v>1753</v>
      </c>
      <c r="E633" s="118"/>
      <c r="F633" s="40"/>
      <c r="G633" s="39"/>
      <c r="H633" s="41" t="s">
        <v>79</v>
      </c>
      <c r="I633" s="48" t="s">
        <v>1763</v>
      </c>
      <c r="J633" s="42" t="str">
        <f>IFERROR(__xludf.DUMMYFUNCTION("GOOGLETRANSLATE(I633,""en"",""pl"")"),"Uchwyt sufitowy, aluminiowy, biały, kompatybilny z adapterami wiszącymi, takimi jak SBP-120HMW/140HMW/160HMW1/180HMW1 itp., oraz z przedłużkami rur, takimi jak SBP-C15P, SBP-150CMP/300CMP/900CMP.
※ Aby zapoznać się z innymi kompatybilnymi modelami, odwied"&amp;"ź naszą stronę internetową lub skorzystaj z zestawu narzędzi.")</f>
        <v>Uchwyt sufitowy, aluminiowy, biały, kompatybilny z adapterami wiszącymi, takimi jak SBP-120HMW/140HMW/160HMW1/180HMW1 itp., oraz z przedłużkami rur, takimi jak SBP-C15P, SBP-150CMP/300CMP/900CMP.
※ Aby zapoznać się z innymi kompatybilnymi modelami, odwiedź naszą stronę internetową lub skorzystaj z zestawu narzędzi.</v>
      </c>
      <c r="K633" s="43" t="s">
        <v>21</v>
      </c>
      <c r="L633" s="44">
        <v>210.0</v>
      </c>
      <c r="M633" s="8"/>
      <c r="N633" s="45" t="s">
        <v>22</v>
      </c>
      <c r="O633" s="97"/>
      <c r="P633" s="36"/>
      <c r="Q633" s="35"/>
      <c r="R633" s="68"/>
      <c r="S633" s="68"/>
      <c r="T633" s="68"/>
      <c r="U633" s="35"/>
      <c r="V633" s="35"/>
      <c r="W633" s="35"/>
      <c r="X633" s="35"/>
      <c r="Y633" s="35"/>
      <c r="Z633" s="35"/>
      <c r="AA633" s="35"/>
      <c r="AB633" s="35"/>
      <c r="AC633" s="60"/>
      <c r="AD633" s="85"/>
      <c r="AE633" s="85"/>
      <c r="AF633" s="85"/>
      <c r="AG633" s="85"/>
      <c r="AH633" s="85"/>
      <c r="AI633" s="85"/>
      <c r="AJ633" s="85"/>
      <c r="AK633" s="85"/>
      <c r="AL633" s="85"/>
      <c r="AM633" s="85"/>
      <c r="AN633" s="85"/>
      <c r="AO633" s="85"/>
      <c r="AP633" s="85"/>
    </row>
    <row r="634" ht="79.5" customHeight="1">
      <c r="A634" s="29"/>
      <c r="B634" s="38" t="s">
        <v>23</v>
      </c>
      <c r="C634" s="39" t="s">
        <v>1764</v>
      </c>
      <c r="D634" s="40" t="s">
        <v>1753</v>
      </c>
      <c r="E634" s="118"/>
      <c r="F634" s="40"/>
      <c r="G634" s="39"/>
      <c r="H634" s="41" t="s">
        <v>79</v>
      </c>
      <c r="I634" s="48" t="s">
        <v>1765</v>
      </c>
      <c r="J634" s="42" t="str">
        <f>IFERROR(__xludf.DUMMYFUNCTION("GOOGLETRANSLATE(I634,""en"",""pl"")"),"Uchwyt sufitowy, aluminiowy, biały, kompatybilny z adapterami wiszącymi, takimi jak SBP-120HMW/140HMW/160HMW1/180HMW1 itp.
※ Aby zapoznać się z innymi kompatybilnymi modelami, odwiedź naszą stronę internetową lub skorzystaj z Toolboxa.")</f>
        <v>Uchwyt sufitowy, aluminiowy, biały, kompatybilny z adapterami wiszącymi, takimi jak SBP-120HMW/140HMW/160HMW1/180HMW1 itp.
※ Aby zapoznać się z innymi kompatybilnymi modelami, odwiedź naszą stronę internetową lub skorzystaj z Toolboxa.</v>
      </c>
      <c r="K634" s="43" t="s">
        <v>21</v>
      </c>
      <c r="L634" s="44">
        <v>80.0</v>
      </c>
      <c r="M634" s="8"/>
      <c r="N634" s="45" t="s">
        <v>22</v>
      </c>
      <c r="O634" s="97"/>
      <c r="P634" s="36"/>
      <c r="Q634" s="35"/>
      <c r="R634" s="68"/>
      <c r="S634" s="68"/>
      <c r="T634" s="68"/>
      <c r="U634" s="35"/>
      <c r="V634" s="35"/>
      <c r="W634" s="35"/>
      <c r="X634" s="35"/>
      <c r="Y634" s="35"/>
      <c r="Z634" s="35"/>
      <c r="AA634" s="35"/>
      <c r="AB634" s="35"/>
      <c r="AC634" s="60"/>
      <c r="AD634" s="85"/>
      <c r="AE634" s="85"/>
      <c r="AF634" s="85"/>
      <c r="AG634" s="85"/>
      <c r="AH634" s="85"/>
      <c r="AI634" s="85"/>
      <c r="AJ634" s="85"/>
      <c r="AK634" s="85"/>
      <c r="AL634" s="85"/>
      <c r="AM634" s="85"/>
      <c r="AN634" s="85"/>
      <c r="AO634" s="85"/>
      <c r="AP634" s="85"/>
    </row>
    <row r="635" ht="79.5" customHeight="1">
      <c r="A635" s="29"/>
      <c r="B635" s="38" t="s">
        <v>23</v>
      </c>
      <c r="C635" s="39" t="s">
        <v>1766</v>
      </c>
      <c r="D635" s="40" t="s">
        <v>1753</v>
      </c>
      <c r="E635" s="118"/>
      <c r="F635" s="40"/>
      <c r="G635" s="39"/>
      <c r="H635" s="41" t="s">
        <v>79</v>
      </c>
      <c r="I635" s="48" t="s">
        <v>1765</v>
      </c>
      <c r="J635" s="42" t="str">
        <f>IFERROR(__xludf.DUMMYFUNCTION("GOOGLETRANSLATE(I635,""en"",""pl"")"),"Uchwyt sufitowy, aluminiowy, biały, kompatybilny z adapterami wiszącymi, takimi jak SBP-120HMW/140HMW/160HMW1/180HMW1 itp.
※ Aby zapoznać się z innymi kompatybilnymi modelami, odwiedź naszą stronę internetową lub skorzystaj z Toolboxa.")</f>
        <v>Uchwyt sufitowy, aluminiowy, biały, kompatybilny z adapterami wiszącymi, takimi jak SBP-120HMW/140HMW/160HMW1/180HMW1 itp.
※ Aby zapoznać się z innymi kompatybilnymi modelami, odwiedź naszą stronę internetową lub skorzystaj z Toolboxa.</v>
      </c>
      <c r="K635" s="43" t="s">
        <v>21</v>
      </c>
      <c r="L635" s="44">
        <v>90.0</v>
      </c>
      <c r="M635" s="8"/>
      <c r="N635" s="45" t="s">
        <v>22</v>
      </c>
      <c r="O635" s="97"/>
      <c r="P635" s="36"/>
      <c r="Q635" s="35"/>
      <c r="R635" s="68"/>
      <c r="S635" s="68"/>
      <c r="T635" s="68"/>
      <c r="U635" s="35"/>
      <c r="V635" s="35"/>
      <c r="W635" s="35"/>
      <c r="X635" s="35"/>
      <c r="Y635" s="35"/>
      <c r="Z635" s="35"/>
      <c r="AA635" s="35"/>
      <c r="AB635" s="35"/>
      <c r="AC635" s="60"/>
      <c r="AD635" s="85"/>
      <c r="AE635" s="85"/>
      <c r="AF635" s="85"/>
      <c r="AG635" s="85"/>
      <c r="AH635" s="85"/>
      <c r="AI635" s="85"/>
      <c r="AJ635" s="85"/>
      <c r="AK635" s="85"/>
      <c r="AL635" s="85"/>
      <c r="AM635" s="85"/>
      <c r="AN635" s="85"/>
      <c r="AO635" s="85"/>
      <c r="AP635" s="85"/>
    </row>
    <row r="636" ht="79.5" customHeight="1">
      <c r="A636" s="29"/>
      <c r="B636" s="38" t="s">
        <v>23</v>
      </c>
      <c r="C636" s="39" t="s">
        <v>1767</v>
      </c>
      <c r="D636" s="40" t="s">
        <v>1753</v>
      </c>
      <c r="E636" s="118"/>
      <c r="F636" s="40"/>
      <c r="G636" s="39"/>
      <c r="H636" s="41" t="s">
        <v>79</v>
      </c>
      <c r="I636" s="48" t="s">
        <v>1768</v>
      </c>
      <c r="J636" s="42" t="str">
        <f>IFERROR(__xludf.DUMMYFUNCTION("GOOGLETRANSLATE(I636,""en"",""pl"")"),"Uchwyt sufitowy, aluminiowy, biały, kompatybilny z SBP-150CMP, SBP-300CMP, SBP-900CMP itp.
※ Aby sprawdzić inne kompatybilne modele, odwiedź naszą stronę internetową lub skorzystaj z Toolboxa.")</f>
        <v>Uchwyt sufitowy, aluminiowy, biały, kompatybilny z SBP-150CMP, SBP-300CMP, SBP-900CMP itp.
※ Aby sprawdzić inne kompatybilne modele, odwiedź naszą stronę internetową lub skorzystaj z Toolboxa.</v>
      </c>
      <c r="K636" s="43" t="s">
        <v>21</v>
      </c>
      <c r="L636" s="44">
        <v>35.0</v>
      </c>
      <c r="M636" s="8"/>
      <c r="N636" s="45" t="s">
        <v>22</v>
      </c>
      <c r="O636" s="97"/>
      <c r="P636" s="36"/>
      <c r="Q636" s="35"/>
      <c r="R636" s="68"/>
      <c r="S636" s="68"/>
      <c r="T636" s="68"/>
      <c r="U636" s="35"/>
      <c r="V636" s="35"/>
      <c r="W636" s="35"/>
      <c r="X636" s="35"/>
      <c r="Y636" s="35"/>
      <c r="Z636" s="35"/>
      <c r="AA636" s="35"/>
      <c r="AB636" s="35"/>
      <c r="AC636" s="60"/>
      <c r="AD636" s="85"/>
      <c r="AE636" s="85"/>
      <c r="AF636" s="85"/>
      <c r="AG636" s="85"/>
      <c r="AH636" s="85"/>
      <c r="AI636" s="85"/>
      <c r="AJ636" s="85"/>
      <c r="AK636" s="85"/>
      <c r="AL636" s="85"/>
      <c r="AM636" s="85"/>
      <c r="AN636" s="85"/>
      <c r="AO636" s="85"/>
      <c r="AP636" s="85"/>
    </row>
    <row r="637" ht="79.5" customHeight="1">
      <c r="A637" s="29"/>
      <c r="B637" s="38" t="s">
        <v>23</v>
      </c>
      <c r="C637" s="39" t="s">
        <v>1769</v>
      </c>
      <c r="D637" s="40" t="s">
        <v>1770</v>
      </c>
      <c r="E637" s="118"/>
      <c r="F637" s="40"/>
      <c r="G637" s="39"/>
      <c r="H637" s="105" t="s">
        <v>19</v>
      </c>
      <c r="I637" s="48" t="s">
        <v>1771</v>
      </c>
      <c r="J637" s="42" t="str">
        <f>IFERROR(__xludf.DUMMYFUNCTION("GOOGLETRANSLATE(I637,""en"",""pl"")"),"Zestaw 4 uchwytów sufitowych Tile Grid, kompatybilnych z QND-6011/6021, QND-8011/8021, QNF-8010/9010, 
QND-6012R/6022R/6082R, QNV-C9011R/C8011R/C8012, 
LND-6012R/6022R/6072R, QNE-8011R/8021R, ANE-L6012R/L7012R/L7012L, 
QNV-C8083R/C9083R, XND-8082RV/9082RV"&amp;", 
kopułką wewnętrzną X plus, kopułką wewnętrzną P AI")</f>
        <v>Zestaw 4 uchwytów sufitowych Tile Grid, kompatybilnych z QND-6011/6021, QND-8011/8021, QNF-8010/9010, 
QND-6012R/6022R/6082R, QNV-C9011R/C8011R/C8012, 
LND-6012R/6022R/6072R, QNE-8011R/8021R, ANE-L6012R/L7012R/L7012L, 
QNV-C8083R/C9083R, XND-8082RV/9082RV, 
kopułką wewnętrzną X plus, kopułką wewnętrzną P AI</v>
      </c>
      <c r="K637" s="43" t="s">
        <v>21</v>
      </c>
      <c r="L637" s="44">
        <v>155.0</v>
      </c>
      <c r="M637" s="8"/>
      <c r="N637" s="45" t="s">
        <v>22</v>
      </c>
      <c r="O637" s="97"/>
      <c r="P637" s="36"/>
      <c r="Q637" s="35"/>
      <c r="R637" s="68"/>
      <c r="S637" s="68"/>
      <c r="T637" s="68"/>
      <c r="U637" s="35"/>
      <c r="V637" s="35"/>
      <c r="W637" s="35"/>
      <c r="X637" s="35"/>
      <c r="Y637" s="35"/>
      <c r="Z637" s="35"/>
      <c r="AA637" s="35"/>
      <c r="AB637" s="35"/>
      <c r="AC637" s="60"/>
      <c r="AD637" s="85"/>
      <c r="AE637" s="85"/>
      <c r="AF637" s="85"/>
      <c r="AG637" s="85"/>
      <c r="AH637" s="85"/>
      <c r="AI637" s="85"/>
      <c r="AJ637" s="85"/>
      <c r="AK637" s="85"/>
      <c r="AL637" s="85"/>
      <c r="AM637" s="85"/>
      <c r="AN637" s="85"/>
      <c r="AO637" s="85"/>
      <c r="AP637" s="85"/>
    </row>
    <row r="638" ht="79.5" customHeight="1">
      <c r="A638" s="29"/>
      <c r="B638" s="38" t="s">
        <v>23</v>
      </c>
      <c r="C638" s="39" t="s">
        <v>1772</v>
      </c>
      <c r="D638" s="40" t="s">
        <v>1552</v>
      </c>
      <c r="E638" s="118"/>
      <c r="F638" s="40"/>
      <c r="G638" s="39"/>
      <c r="H638" s="41" t="s">
        <v>79</v>
      </c>
      <c r="I638" s="48" t="s">
        <v>1773</v>
      </c>
      <c r="J638" s="42" t="str">
        <f>IFERROR(__xludf.DUMMYFUNCTION("GOOGLETRANSLATE(I638,""en"",""pl"")"),"Zestaw 5 płyt montażowych do SBP-250WMW i SBP-400WMW, kompatybilnych z XNV-6083R/8083R/9083R, XNV-8082R/9082R, XNV-6083RZ/8083RZ/9083RZ, PNV-A6081R/A9081R, PNV-A7082RZ/A9082RZ")</f>
        <v>Zestaw 5 płyt montażowych do SBP-250WMW i SBP-400WMW, kompatybilnych z XNV-6083R/8083R/9083R, XNV-8082R/9082R, XNV-6083RZ/8083RZ/9083RZ, PNV-A6081R/A9081R, PNV-A7082RZ/A9082RZ</v>
      </c>
      <c r="K638" s="43" t="s">
        <v>21</v>
      </c>
      <c r="L638" s="44">
        <v>30.0</v>
      </c>
      <c r="M638" s="8"/>
      <c r="N638" s="45" t="s">
        <v>22</v>
      </c>
      <c r="O638" s="97"/>
      <c r="P638" s="36"/>
      <c r="Q638" s="35"/>
      <c r="R638" s="68"/>
      <c r="S638" s="68"/>
      <c r="T638" s="68"/>
      <c r="U638" s="35"/>
      <c r="V638" s="35"/>
      <c r="W638" s="35"/>
      <c r="X638" s="35"/>
      <c r="Y638" s="35"/>
      <c r="Z638" s="35"/>
      <c r="AA638" s="35"/>
      <c r="AB638" s="35"/>
      <c r="AC638" s="60"/>
      <c r="AD638" s="85"/>
      <c r="AE638" s="85"/>
      <c r="AF638" s="85"/>
      <c r="AG638" s="85"/>
      <c r="AH638" s="85"/>
      <c r="AI638" s="85"/>
      <c r="AJ638" s="85"/>
      <c r="AK638" s="85"/>
      <c r="AL638" s="85"/>
      <c r="AM638" s="85"/>
      <c r="AN638" s="85"/>
      <c r="AO638" s="85"/>
      <c r="AP638" s="85"/>
    </row>
    <row r="639" ht="79.5" customHeight="1">
      <c r="A639" s="29"/>
      <c r="B639" s="38" t="s">
        <v>23</v>
      </c>
      <c r="C639" s="39" t="s">
        <v>1774</v>
      </c>
      <c r="D639" s="40" t="s">
        <v>1753</v>
      </c>
      <c r="E639" s="118"/>
      <c r="F639" s="40"/>
      <c r="G639" s="39"/>
      <c r="H639" s="41" t="s">
        <v>79</v>
      </c>
      <c r="I639" s="48" t="s">
        <v>1775</v>
      </c>
      <c r="J639" s="42" t="str">
        <f>IFERROR(__xludf.DUMMYFUNCTION("GOOGLETRANSLATE(I639,""en"",""pl"")"),"Uchwyt sufitowy, aluminiowy, biały, kompatybilny z SBP-C15P, SBP-150CMP/300CMP/900CMP itp. (Przedłużenie rury możliwe tylko raz)
※ Aby poznać więcej kompatybilnych modeli, odwiedź naszą stronę internetową lub skorzystaj z Toolboxa.")</f>
        <v>Uchwyt sufitowy, aluminiowy, biały, kompatybilny z SBP-C15P, SBP-150CMP/300CMP/900CMP itp. (Przedłużenie rury możliwe tylko raz)
※ Aby poznać więcej kompatybilnych modeli, odwiedź naszą stronę internetową lub skorzystaj z Toolboxa.</v>
      </c>
      <c r="K639" s="43" t="s">
        <v>21</v>
      </c>
      <c r="L639" s="44">
        <v>130.0</v>
      </c>
      <c r="M639" s="8"/>
      <c r="N639" s="45" t="s">
        <v>22</v>
      </c>
      <c r="O639" s="97"/>
      <c r="P639" s="36"/>
      <c r="Q639" s="35"/>
      <c r="R639" s="68"/>
      <c r="S639" s="68"/>
      <c r="T639" s="68"/>
      <c r="U639" s="35"/>
      <c r="V639" s="35"/>
      <c r="W639" s="35"/>
      <c r="X639" s="35"/>
      <c r="Y639" s="35"/>
      <c r="Z639" s="35"/>
      <c r="AA639" s="35"/>
      <c r="AB639" s="35"/>
      <c r="AC639" s="60"/>
      <c r="AD639" s="85"/>
      <c r="AE639" s="85"/>
      <c r="AF639" s="85"/>
      <c r="AG639" s="85"/>
      <c r="AH639" s="85"/>
      <c r="AI639" s="85"/>
      <c r="AJ639" s="85"/>
      <c r="AK639" s="85"/>
      <c r="AL639" s="85"/>
      <c r="AM639" s="85"/>
      <c r="AN639" s="85"/>
      <c r="AO639" s="85"/>
      <c r="AP639" s="85"/>
    </row>
    <row r="640" ht="79.5" customHeight="1">
      <c r="A640" s="29"/>
      <c r="B640" s="38" t="s">
        <v>23</v>
      </c>
      <c r="C640" s="39" t="s">
        <v>1776</v>
      </c>
      <c r="D640" s="40" t="s">
        <v>1777</v>
      </c>
      <c r="E640" s="118"/>
      <c r="F640" s="40"/>
      <c r="G640" s="39"/>
      <c r="H640" s="105" t="s">
        <v>19</v>
      </c>
      <c r="I640" s="48" t="s">
        <v>1778</v>
      </c>
      <c r="J640" s="42" t="str">
        <f>IFERROR(__xludf.DUMMYFUNCTION("GOOGLETRANSLATE(I640,""en"",""pl"")"),"Podstawa sufitowa z głowicą kulową, aluminiowa, biała, kompatybilna z SBP-C15P, SBP-150CMP/300CMP/900CMP itp. (Przedłużenie rury możliwe tylko raz)
※ Aby zapoznać się z listą kompatybilnych modeli, odwiedź naszą stronę internetową lub skorzystaj z Toolbox"&amp;"a.")</f>
        <v>Podstawa sufitowa z głowicą kulową, aluminiowa, biała, kompatybilna z SBP-C15P, SBP-150CMP/300CMP/900CMP itp. (Przedłużenie rury możliwe tylko raz)
※ Aby zapoznać się z listą kompatybilnych modeli, odwiedź naszą stronę internetową lub skorzystaj z Toolboxa.</v>
      </c>
      <c r="K640" s="43" t="s">
        <v>21</v>
      </c>
      <c r="L640" s="44">
        <v>170.0</v>
      </c>
      <c r="M640" s="8"/>
      <c r="N640" s="45" t="s">
        <v>22</v>
      </c>
      <c r="O640" s="97"/>
      <c r="P640" s="36"/>
      <c r="Q640" s="35"/>
      <c r="R640" s="68"/>
      <c r="S640" s="68"/>
      <c r="T640" s="68"/>
      <c r="U640" s="35"/>
      <c r="V640" s="35"/>
      <c r="W640" s="35"/>
      <c r="X640" s="35"/>
      <c r="Y640" s="35"/>
      <c r="Z640" s="35"/>
      <c r="AA640" s="35"/>
      <c r="AB640" s="35"/>
      <c r="AC640" s="60"/>
      <c r="AD640" s="85"/>
      <c r="AE640" s="85"/>
      <c r="AF640" s="85"/>
      <c r="AG640" s="85"/>
      <c r="AH640" s="85"/>
      <c r="AI640" s="85"/>
      <c r="AJ640" s="85"/>
      <c r="AK640" s="85"/>
      <c r="AL640" s="85"/>
      <c r="AM640" s="85"/>
      <c r="AN640" s="85"/>
      <c r="AO640" s="85"/>
      <c r="AP640" s="85"/>
    </row>
    <row r="641" ht="79.5" customHeight="1">
      <c r="A641" s="29"/>
      <c r="B641" s="38" t="s">
        <v>23</v>
      </c>
      <c r="C641" s="39" t="s">
        <v>1779</v>
      </c>
      <c r="D641" s="40" t="s">
        <v>1753</v>
      </c>
      <c r="E641" s="118"/>
      <c r="F641" s="40"/>
      <c r="G641" s="39"/>
      <c r="H641" s="41" t="s">
        <v>79</v>
      </c>
      <c r="I641" s="48" t="s">
        <v>1780</v>
      </c>
      <c r="J641" s="42" t="str">
        <f>IFERROR(__xludf.DUMMYFUNCTION("GOOGLETRANSLATE(I641,""en"",""pl"")"),"Uchwyt sufitowy, aluminiowy, biały, kompatybilny z: - Podstawa: SBP-140CMB, SBP-180CMB, - Przedłużenie rury: SBP-C15P, SBP-150CMP/300CMP/900CMP
※ Przedłużenie należy wykonać za pomocą SBP-180CMB
※ Aby zapoznać się z innymi kompatybilnymi modelami, odwiedź"&amp;" naszą stronę internetową lub skorzystaj z zestawu narzędzi.")</f>
        <v>Uchwyt sufitowy, aluminiowy, biały, kompatybilny z: - Podstawa: SBP-140CMB, SBP-180CMB, - Przedłużenie rury: SBP-C15P, SBP-150CMP/300CMP/900CMP
※ Przedłużenie należy wykonać za pomocą SBP-180CMB
※ Aby zapoznać się z innymi kompatybilnymi modelami, odwiedź naszą stronę internetową lub skorzystaj z zestawu narzędzi.</v>
      </c>
      <c r="K641" s="43" t="s">
        <v>21</v>
      </c>
      <c r="L641" s="44">
        <v>45.0</v>
      </c>
      <c r="M641" s="8"/>
      <c r="N641" s="45" t="s">
        <v>22</v>
      </c>
      <c r="O641" s="97"/>
      <c r="P641" s="36"/>
      <c r="Q641" s="35"/>
      <c r="R641" s="68"/>
      <c r="S641" s="68"/>
      <c r="T641" s="68"/>
      <c r="U641" s="35"/>
      <c r="V641" s="35"/>
      <c r="W641" s="35"/>
      <c r="X641" s="35"/>
      <c r="Y641" s="35"/>
      <c r="Z641" s="35"/>
      <c r="AA641" s="35"/>
      <c r="AB641" s="35"/>
      <c r="AC641" s="60"/>
      <c r="AD641" s="85"/>
      <c r="AE641" s="85"/>
      <c r="AF641" s="85"/>
      <c r="AG641" s="85"/>
      <c r="AH641" s="85"/>
      <c r="AI641" s="85"/>
      <c r="AJ641" s="85"/>
      <c r="AK641" s="85"/>
      <c r="AL641" s="85"/>
      <c r="AM641" s="85"/>
      <c r="AN641" s="85"/>
      <c r="AO641" s="85"/>
      <c r="AP641" s="85"/>
    </row>
    <row r="642" ht="46.5" customHeight="1">
      <c r="A642" s="29"/>
      <c r="B642" s="38" t="s">
        <v>23</v>
      </c>
      <c r="C642" s="39" t="s">
        <v>1781</v>
      </c>
      <c r="D642" s="40" t="s">
        <v>1716</v>
      </c>
      <c r="E642" s="118"/>
      <c r="F642" s="40"/>
      <c r="G642" s="39"/>
      <c r="H642" s="41" t="s">
        <v>79</v>
      </c>
      <c r="I642" s="48" t="s">
        <v>1782</v>
      </c>
      <c r="J642" s="42" t="str">
        <f>IFERROR(__xludf.DUMMYFUNCTION("GOOGLETRANSLATE(I642,""en"",""pl"")"),"Szafka instalacyjna zgodna z
1. Bezpośrednio do kamery: QNV-C8083R/C9083R, XND-C6083RV/C7083RV/C8083RV/C9083RV, XNV-C6083R/C7083R/C8083R/C9083R, XND-6083RV/8083RV/9083RV, XNV-6083RV/8083RV/9083RV, XNV-6083R/8083R/8093R/9083R
2. SBP-156WMW, SBP-250WMW, SBP"&amp;"-400WMW
3. Różne: SBV-140BW, SBO-140BW, SBO-090GP, SBD-110GP1, SBP-150PMW
(Maks. obciążenie 33 funty/15 kg)")</f>
        <v>Szafka instalacyjna zgodna z
1. Bezpośrednio do kamery: QNV-C8083R/C9083R, XND-C6083RV/C7083RV/C8083RV/C9083RV, XNV-C6083R/C7083R/C8083R/C9083R, XND-6083RV/8083RV/9083RV, XNV-6083RV/8083RV/9083RV, XNV-6083R/8083R/8093R/9083R
2. SBP-156WMW, SBP-250WMW, SBP-400WMW
3. Różne: SBV-140BW, SBO-140BW, SBO-090GP, SBD-110GP1, SBP-150PMW
(Maks. obciążenie 33 funty/15 kg)</v>
      </c>
      <c r="K642" s="43" t="s">
        <v>21</v>
      </c>
      <c r="L642" s="44">
        <v>620.0</v>
      </c>
      <c r="M642" s="8"/>
      <c r="N642" s="45" t="s">
        <v>22</v>
      </c>
      <c r="O642" s="97"/>
      <c r="P642" s="36"/>
      <c r="Q642" s="35"/>
      <c r="R642" s="68"/>
      <c r="S642" s="68"/>
      <c r="T642" s="68"/>
      <c r="U642" s="35"/>
      <c r="V642" s="35"/>
      <c r="W642" s="35"/>
      <c r="X642" s="35"/>
      <c r="Y642" s="35"/>
      <c r="Z642" s="35"/>
      <c r="AA642" s="35"/>
      <c r="AB642" s="35"/>
      <c r="AC642" s="60"/>
      <c r="AD642" s="85"/>
      <c r="AE642" s="85"/>
      <c r="AF642" s="85"/>
      <c r="AG642" s="85"/>
      <c r="AH642" s="85"/>
      <c r="AI642" s="85"/>
      <c r="AJ642" s="85"/>
      <c r="AK642" s="85"/>
      <c r="AL642" s="85"/>
      <c r="AM642" s="85"/>
      <c r="AN642" s="85"/>
      <c r="AO642" s="85"/>
      <c r="AP642" s="85"/>
    </row>
    <row r="643" ht="79.5" customHeight="1">
      <c r="A643" s="29"/>
      <c r="B643" s="38" t="s">
        <v>23</v>
      </c>
      <c r="C643" s="39" t="s">
        <v>1783</v>
      </c>
      <c r="D643" s="40" t="s">
        <v>1665</v>
      </c>
      <c r="E643" s="118"/>
      <c r="F643" s="40"/>
      <c r="G643" s="39"/>
      <c r="H643" s="41" t="s">
        <v>79</v>
      </c>
      <c r="I643" s="48" t="s">
        <v>1784</v>
      </c>
      <c r="J643" s="42" t="str">
        <f>IFERROR(__xludf.DUMMYFUNCTION("GOOGLETRANSLATE(I643,""en"",""pl"")"),"Uchwyt na słup do SBP-150NBW (maksymalne obciążenie 40 kg/88 funtów)")</f>
        <v>Uchwyt na słup do SBP-150NBW (maksymalne obciążenie 40 kg/88 funtów)</v>
      </c>
      <c r="K643" s="43" t="s">
        <v>21</v>
      </c>
      <c r="L643" s="44">
        <v>230.0</v>
      </c>
      <c r="M643" s="8"/>
      <c r="N643" s="45" t="s">
        <v>22</v>
      </c>
      <c r="O643" s="97"/>
      <c r="P643" s="36"/>
      <c r="Q643" s="35"/>
      <c r="R643" s="68"/>
      <c r="S643" s="68"/>
      <c r="T643" s="68"/>
      <c r="U643" s="35"/>
      <c r="V643" s="35"/>
      <c r="W643" s="35"/>
      <c r="X643" s="35"/>
      <c r="Y643" s="35"/>
      <c r="Z643" s="35"/>
      <c r="AA643" s="35"/>
      <c r="AB643" s="35"/>
      <c r="AC643" s="60"/>
      <c r="AD643" s="85"/>
      <c r="AE643" s="85"/>
      <c r="AF643" s="85"/>
      <c r="AG643" s="85"/>
      <c r="AH643" s="85"/>
      <c r="AI643" s="85"/>
      <c r="AJ643" s="85"/>
      <c r="AK643" s="85"/>
      <c r="AL643" s="85"/>
      <c r="AM643" s="85"/>
      <c r="AN643" s="85"/>
      <c r="AO643" s="85"/>
      <c r="AP643" s="85"/>
    </row>
    <row r="644" ht="79.5" customHeight="1">
      <c r="A644" s="29"/>
      <c r="B644" s="38" t="s">
        <v>23</v>
      </c>
      <c r="C644" s="39" t="s">
        <v>1785</v>
      </c>
      <c r="D644" s="40" t="s">
        <v>1753</v>
      </c>
      <c r="E644" s="118"/>
      <c r="F644" s="40"/>
      <c r="G644" s="39"/>
      <c r="H644" s="41" t="s">
        <v>79</v>
      </c>
      <c r="I644" s="48" t="s">
        <v>1786</v>
      </c>
      <c r="J644" s="42" t="str">
        <f>IFERROR(__xludf.DUMMYFUNCTION("GOOGLETRANSLATE(I644,""en"",""pl"")"),"Uchwyt sufitowy, aluminiowy, biały, kompatybilny z: - Podstawa: SBP-140CMB, SBP-180CMB, - Przedłużenie rury: SBP-C15P, SBP-150CMP/300CMP/900CMP
※ Przedłużenie należy wykonać za pomocą SBP-180CMB
※ Aby zapoznać się z innymi kompatybilnymi modelami, odwiedź"&amp;" naszą stronę internetową lub skorzystaj z zestawu narzędzi.")</f>
        <v>Uchwyt sufitowy, aluminiowy, biały, kompatybilny z: - Podstawa: SBP-140CMB, SBP-180CMB, - Przedłużenie rury: SBP-C15P, SBP-150CMP/300CMP/900CMP
※ Przedłużenie należy wykonać za pomocą SBP-180CMB
※ Aby zapoznać się z innymi kompatybilnymi modelami, odwiedź naszą stronę internetową lub skorzystaj z zestawu narzędzi.</v>
      </c>
      <c r="K644" s="43" t="s">
        <v>21</v>
      </c>
      <c r="L644" s="44">
        <v>65.0</v>
      </c>
      <c r="M644" s="8"/>
      <c r="N644" s="45" t="s">
        <v>22</v>
      </c>
      <c r="O644" s="97"/>
      <c r="P644" s="36"/>
      <c r="Q644" s="35"/>
      <c r="R644" s="68"/>
      <c r="S644" s="68"/>
      <c r="T644" s="68"/>
      <c r="U644" s="35"/>
      <c r="V644" s="35"/>
      <c r="W644" s="35"/>
      <c r="X644" s="35"/>
      <c r="Y644" s="35"/>
      <c r="Z644" s="35"/>
      <c r="AA644" s="35"/>
      <c r="AB644" s="35"/>
      <c r="AC644" s="60"/>
      <c r="AD644" s="85"/>
      <c r="AE644" s="85"/>
      <c r="AF644" s="85"/>
      <c r="AG644" s="85"/>
      <c r="AH644" s="85"/>
      <c r="AI644" s="85"/>
      <c r="AJ644" s="85"/>
      <c r="AK644" s="85"/>
      <c r="AL644" s="85"/>
      <c r="AM644" s="85"/>
      <c r="AN644" s="85"/>
      <c r="AO644" s="85"/>
      <c r="AP644" s="85"/>
    </row>
    <row r="645" ht="79.5" customHeight="1">
      <c r="A645" s="29"/>
      <c r="B645" s="38" t="s">
        <v>23</v>
      </c>
      <c r="C645" s="39" t="s">
        <v>1787</v>
      </c>
      <c r="D645" s="40" t="s">
        <v>1788</v>
      </c>
      <c r="E645" s="118"/>
      <c r="F645" s="40"/>
      <c r="G645" s="39"/>
      <c r="H645" s="41" t="s">
        <v>79</v>
      </c>
      <c r="I645" s="48" t="s">
        <v>1789</v>
      </c>
      <c r="J645" s="42" t="str">
        <f>IFERROR(__xludf.DUMMYFUNCTION("GOOGLETRANSLATE(I645,""en"",""pl"")"),"Teleskopowy uchwyt sufitowy, aluminiowy, biały, kompatybilne akcesoria: - Adapter do zawieszania: SBP-120HMW/140HMW/160HMW1/180HMW1 itd. - Przedłużenie rury: SBP-C15P, SBP-150CMP/300CMP/900CMP
※ Aby zapoznać się z innymi kompatybilnymi modelami, odwiedź n"&amp;"aszą stronę internetową lub skorzystaj z zestawu narzędzi.")</f>
        <v>Teleskopowy uchwyt sufitowy, aluminiowy, biały, kompatybilne akcesoria: - Adapter do zawieszania: SBP-120HMW/140HMW/160HMW1/180HMW1 itd. - Przedłużenie rury: SBP-C15P, SBP-150CMP/300CMP/900CMP
※ Aby zapoznać się z innymi kompatybilnymi modelami, odwiedź naszą stronę internetową lub skorzystaj z zestawu narzędzi.</v>
      </c>
      <c r="K645" s="43" t="s">
        <v>21</v>
      </c>
      <c r="L645" s="44">
        <v>279.0</v>
      </c>
      <c r="M645" s="8"/>
      <c r="N645" s="45" t="s">
        <v>22</v>
      </c>
      <c r="O645" s="97"/>
      <c r="P645" s="36"/>
      <c r="Q645" s="35"/>
      <c r="R645" s="68"/>
      <c r="S645" s="68"/>
      <c r="T645" s="68"/>
      <c r="U645" s="35"/>
      <c r="V645" s="35"/>
      <c r="W645" s="35"/>
      <c r="X645" s="35"/>
      <c r="Y645" s="35"/>
      <c r="Z645" s="35"/>
      <c r="AA645" s="35"/>
      <c r="AB645" s="35"/>
      <c r="AC645" s="60"/>
      <c r="AD645" s="85"/>
      <c r="AE645" s="85"/>
      <c r="AF645" s="85"/>
      <c r="AG645" s="85"/>
      <c r="AH645" s="85"/>
      <c r="AI645" s="85"/>
      <c r="AJ645" s="85"/>
      <c r="AK645" s="85"/>
      <c r="AL645" s="85"/>
      <c r="AM645" s="85"/>
      <c r="AN645" s="85"/>
      <c r="AO645" s="85"/>
      <c r="AP645" s="85"/>
    </row>
    <row r="646" ht="79.5" customHeight="1">
      <c r="A646" s="29"/>
      <c r="B646" s="38" t="s">
        <v>23</v>
      </c>
      <c r="C646" s="39" t="s">
        <v>1790</v>
      </c>
      <c r="D646" s="40" t="s">
        <v>1791</v>
      </c>
      <c r="E646" s="118"/>
      <c r="F646" s="40"/>
      <c r="G646" s="39"/>
      <c r="H646" s="41" t="s">
        <v>19</v>
      </c>
      <c r="I646" s="48" t="s">
        <v>1792</v>
      </c>
      <c r="J646" s="42" t="str">
        <f>IFERROR(__xludf.DUMMYFUNCTION("GOOGLETRANSLATE(I646,""en"",""pl"")"),"Uchwyt sufitowy z głowicą kulową, aluminiowy, biały, kompatybilny z: - adapterem do montażu wiszącego: SBP-120HMW/140HMW/160HMW1/180HMW1 itp. - przedłużeniem rury: SBP-C15P, SBP-150CMP/300CMP/900CMP
※ Aby zapoznać się z listą kompatybilnych modeli, odwied"&amp;"ź naszą stronę internetową lub skorzystaj z zestawu narzędzi.")</f>
        <v>Uchwyt sufitowy z głowicą kulową, aluminiowy, biały, kompatybilny z: - adapterem do montażu wiszącego: SBP-120HMW/140HMW/160HMW1/180HMW1 itp. - przedłużeniem rury: SBP-C15P, SBP-150CMP/300CMP/900CMP
※ Aby zapoznać się z listą kompatybilnych modeli, odwiedź naszą stronę internetową lub skorzystaj z zestawu narzędzi.</v>
      </c>
      <c r="K646" s="43" t="s">
        <v>21</v>
      </c>
      <c r="L646" s="44">
        <v>440.0</v>
      </c>
      <c r="M646" s="8"/>
      <c r="N646" s="45" t="s">
        <v>22</v>
      </c>
      <c r="O646" s="97"/>
      <c r="P646" s="36"/>
      <c r="Q646" s="35"/>
      <c r="R646" s="68"/>
      <c r="S646" s="68"/>
      <c r="T646" s="68"/>
      <c r="U646" s="35"/>
      <c r="V646" s="35"/>
      <c r="W646" s="35"/>
      <c r="X646" s="35"/>
      <c r="Y646" s="35"/>
      <c r="Z646" s="35"/>
      <c r="AA646" s="35"/>
      <c r="AB646" s="35"/>
      <c r="AC646" s="60"/>
      <c r="AD646" s="85"/>
      <c r="AE646" s="85"/>
      <c r="AF646" s="85"/>
      <c r="AG646" s="85"/>
      <c r="AH646" s="85"/>
      <c r="AI646" s="85"/>
      <c r="AJ646" s="85"/>
      <c r="AK646" s="85"/>
      <c r="AL646" s="85"/>
      <c r="AM646" s="85"/>
      <c r="AN646" s="85"/>
      <c r="AO646" s="85"/>
      <c r="AP646" s="85"/>
    </row>
    <row r="647" ht="79.5" customHeight="1">
      <c r="A647" s="29"/>
      <c r="B647" s="38" t="s">
        <v>23</v>
      </c>
      <c r="C647" s="39" t="s">
        <v>1793</v>
      </c>
      <c r="D647" s="40" t="s">
        <v>1753</v>
      </c>
      <c r="E647" s="118"/>
      <c r="F647" s="40"/>
      <c r="G647" s="39"/>
      <c r="H647" s="41" t="s">
        <v>79</v>
      </c>
      <c r="I647" s="48" t="s">
        <v>1780</v>
      </c>
      <c r="J647" s="42" t="str">
        <f>IFERROR(__xludf.DUMMYFUNCTION("GOOGLETRANSLATE(I647,""en"",""pl"")"),"Uchwyt sufitowy, aluminiowy, biały, kompatybilny z: - Podstawa: SBP-140CMB, SBP-180CMB, - Przedłużenie rury: SBP-C15P, SBP-150CMP/300CMP/900CMP
※ Przedłużenie należy wykonać za pomocą SBP-180CMB
※ Aby zapoznać się z innymi kompatybilnymi modelami, odwiedź"&amp;" naszą stronę internetową lub skorzystaj z zestawu narzędzi.")</f>
        <v>Uchwyt sufitowy, aluminiowy, biały, kompatybilny z: - Podstawa: SBP-140CMB, SBP-180CMB, - Przedłużenie rury: SBP-C15P, SBP-150CMP/300CMP/900CMP
※ Przedłużenie należy wykonać za pomocą SBP-180CMB
※ Aby zapoznać się z innymi kompatybilnymi modelami, odwiedź naszą stronę internetową lub skorzystaj z zestawu narzędzi.</v>
      </c>
      <c r="K647" s="43" t="s">
        <v>21</v>
      </c>
      <c r="L647" s="44">
        <v>100.0</v>
      </c>
      <c r="M647" s="8"/>
      <c r="N647" s="45" t="s">
        <v>22</v>
      </c>
      <c r="O647" s="97"/>
      <c r="P647" s="36"/>
      <c r="Q647" s="35"/>
      <c r="R647" s="68"/>
      <c r="S647" s="68"/>
      <c r="T647" s="68"/>
      <c r="U647" s="35"/>
      <c r="V647" s="35"/>
      <c r="W647" s="35"/>
      <c r="X647" s="35"/>
      <c r="Y647" s="35"/>
      <c r="Z647" s="35"/>
      <c r="AA647" s="35"/>
      <c r="AB647" s="35"/>
      <c r="AC647" s="60"/>
      <c r="AD647" s="85"/>
      <c r="AE647" s="85"/>
      <c r="AF647" s="85"/>
      <c r="AG647" s="85"/>
      <c r="AH647" s="85"/>
      <c r="AI647" s="85"/>
      <c r="AJ647" s="85"/>
      <c r="AK647" s="85"/>
      <c r="AL647" s="85"/>
      <c r="AM647" s="85"/>
      <c r="AN647" s="85"/>
      <c r="AO647" s="85"/>
      <c r="AP647" s="85"/>
    </row>
    <row r="648" ht="79.5" customHeight="1">
      <c r="A648" s="29"/>
      <c r="B648" s="38" t="s">
        <v>23</v>
      </c>
      <c r="C648" s="39" t="s">
        <v>1794</v>
      </c>
      <c r="D648" s="40" t="s">
        <v>1753</v>
      </c>
      <c r="E648" s="118"/>
      <c r="F648" s="40"/>
      <c r="G648" s="39"/>
      <c r="H648" s="41" t="s">
        <v>79</v>
      </c>
      <c r="I648" s="48" t="s">
        <v>1795</v>
      </c>
      <c r="J648" s="42" t="str">
        <f>IFERROR(__xludf.DUMMYFUNCTION("GOOGLETRANSLATE(I648,""en"",""pl"")"),"Podstawa sufitowa, aluminiowa, biała, kompatybilna z SBP-150CMP, SBP-300CMP, SBP-900CMP
※ Aby sprawdzić inne kompatybilne modele, odwiedź naszą stronę internetową lub skorzystaj z Toolboxa.")</f>
        <v>Podstawa sufitowa, aluminiowa, biała, kompatybilna z SBP-150CMP, SBP-300CMP, SBP-900CMP
※ Aby sprawdzić inne kompatybilne modele, odwiedź naszą stronę internetową lub skorzystaj z Toolboxa.</v>
      </c>
      <c r="K648" s="43" t="s">
        <v>21</v>
      </c>
      <c r="L648" s="44">
        <v>20.0</v>
      </c>
      <c r="M648" s="8"/>
      <c r="N648" s="45" t="s">
        <v>22</v>
      </c>
      <c r="O648" s="97"/>
      <c r="P648" s="36"/>
      <c r="Q648" s="35"/>
      <c r="R648" s="68"/>
      <c r="S648" s="68"/>
      <c r="T648" s="68"/>
      <c r="U648" s="35"/>
      <c r="V648" s="35"/>
      <c r="W648" s="35"/>
      <c r="X648" s="35"/>
      <c r="Y648" s="35"/>
      <c r="Z648" s="35"/>
      <c r="AA648" s="35"/>
      <c r="AB648" s="35"/>
      <c r="AC648" s="60"/>
      <c r="AD648" s="85"/>
      <c r="AE648" s="85"/>
      <c r="AF648" s="85"/>
      <c r="AG648" s="85"/>
      <c r="AH648" s="85"/>
      <c r="AI648" s="85"/>
      <c r="AJ648" s="85"/>
      <c r="AK648" s="85"/>
      <c r="AL648" s="85"/>
      <c r="AM648" s="85"/>
      <c r="AN648" s="85"/>
      <c r="AO648" s="85"/>
      <c r="AP648" s="85"/>
    </row>
    <row r="649" ht="79.5" customHeight="1">
      <c r="A649" s="29"/>
      <c r="B649" s="38" t="s">
        <v>23</v>
      </c>
      <c r="C649" s="39" t="s">
        <v>1796</v>
      </c>
      <c r="D649" s="40" t="s">
        <v>1797</v>
      </c>
      <c r="E649" s="118"/>
      <c r="F649" s="40"/>
      <c r="G649" s="39"/>
      <c r="H649" s="41" t="s">
        <v>79</v>
      </c>
      <c r="I649" s="48" t="s">
        <v>1798</v>
      </c>
      <c r="J649" s="42" t="str">
        <f>IFERROR(__xludf.DUMMYFUNCTION("GOOGLETRANSLATE(I649,""en"",""pl"")"),"Złączka sufitowa (do przedłużenia rury), kompatybilna z SBP-150CMP, SBP-300CMP, SBP-900CMP Opakowanie 4 szt.")</f>
        <v>Złączka sufitowa (do przedłużenia rury), kompatybilna z SBP-150CMP, SBP-300CMP, SBP-900CMP Opakowanie 4 szt.</v>
      </c>
      <c r="K649" s="43" t="s">
        <v>21</v>
      </c>
      <c r="L649" s="44">
        <v>80.0</v>
      </c>
      <c r="M649" s="8"/>
      <c r="N649" s="45" t="s">
        <v>22</v>
      </c>
      <c r="O649" s="97"/>
      <c r="P649" s="36"/>
      <c r="Q649" s="35"/>
      <c r="R649" s="68"/>
      <c r="S649" s="68"/>
      <c r="T649" s="68"/>
      <c r="U649" s="35"/>
      <c r="V649" s="35"/>
      <c r="W649" s="35"/>
      <c r="X649" s="35"/>
      <c r="Y649" s="35"/>
      <c r="Z649" s="35"/>
      <c r="AA649" s="35"/>
      <c r="AB649" s="35"/>
      <c r="AC649" s="60"/>
      <c r="AD649" s="85"/>
      <c r="AE649" s="85"/>
      <c r="AF649" s="85"/>
      <c r="AG649" s="85"/>
      <c r="AH649" s="85"/>
      <c r="AI649" s="85"/>
      <c r="AJ649" s="85"/>
      <c r="AK649" s="85"/>
      <c r="AL649" s="85"/>
      <c r="AM649" s="85"/>
      <c r="AN649" s="85"/>
      <c r="AO649" s="85"/>
      <c r="AP649" s="85"/>
    </row>
    <row r="650" ht="79.5" customHeight="1">
      <c r="A650" s="29"/>
      <c r="B650" s="38" t="s">
        <v>23</v>
      </c>
      <c r="C650" s="39" t="s">
        <v>1799</v>
      </c>
      <c r="D650" s="40" t="s">
        <v>1800</v>
      </c>
      <c r="E650" s="118"/>
      <c r="F650" s="40"/>
      <c r="G650" s="39"/>
      <c r="H650" s="41" t="s">
        <v>79</v>
      </c>
      <c r="I650" s="48" t="s">
        <v>1801</v>
      </c>
      <c r="J650" s="42" t="str">
        <f>IFERROR(__xludf.DUMMYFUNCTION("GOOGLETRANSLATE(I650,""en"",""pl"")"),"Konwerter gwintu 1,5” NPT na PF zapewniający kompatybilność z rurami z gwintem NPT")</f>
        <v>Konwerter gwintu 1,5” NPT na PF zapewniający kompatybilność z rurami z gwintem NPT</v>
      </c>
      <c r="K650" s="43" t="s">
        <v>21</v>
      </c>
      <c r="L650" s="44">
        <v>20.0</v>
      </c>
      <c r="M650" s="8"/>
      <c r="N650" s="45" t="s">
        <v>22</v>
      </c>
      <c r="O650" s="97"/>
      <c r="P650" s="36"/>
      <c r="Q650" s="35"/>
      <c r="R650" s="68"/>
      <c r="S650" s="68"/>
      <c r="T650" s="68"/>
      <c r="U650" s="35"/>
      <c r="V650" s="35"/>
      <c r="W650" s="35"/>
      <c r="X650" s="35"/>
      <c r="Y650" s="35"/>
      <c r="Z650" s="35"/>
      <c r="AA650" s="35"/>
      <c r="AB650" s="35"/>
      <c r="AC650" s="60"/>
      <c r="AD650" s="85"/>
      <c r="AE650" s="85"/>
      <c r="AF650" s="85"/>
      <c r="AG650" s="85"/>
      <c r="AH650" s="85"/>
      <c r="AI650" s="85"/>
      <c r="AJ650" s="85"/>
      <c r="AK650" s="85"/>
      <c r="AL650" s="85"/>
      <c r="AM650" s="85"/>
      <c r="AN650" s="85"/>
      <c r="AO650" s="85"/>
      <c r="AP650" s="85"/>
    </row>
    <row r="651" ht="79.5" customHeight="1">
      <c r="A651" s="29"/>
      <c r="B651" s="38" t="s">
        <v>23</v>
      </c>
      <c r="C651" s="39" t="s">
        <v>1802</v>
      </c>
      <c r="D651" s="40" t="s">
        <v>1803</v>
      </c>
      <c r="E651" s="118"/>
      <c r="F651" s="40"/>
      <c r="G651" s="39"/>
      <c r="H651" s="41" t="s">
        <v>79</v>
      </c>
      <c r="I651" s="48" t="s">
        <v>1804</v>
      </c>
      <c r="J651" s="42" t="str">
        <f>IFERROR(__xludf.DUMMYFUNCTION("GOOGLETRANSLATE(I651,""en"",""pl"")"),"Łącznik 1,5"" (biały) Zestaw 4 sztuk kompatybilny z
Uchwytem sufitowym SBP-140CMB, SBP-180CMB, SBP-180CMS
Adapterem podwieszanym SBP-099HMW, SBP-120HMW, SBP-140HMW, SBP-160HMW1,
SBP-180HMW1, SBP-200HMW, SBP-250HMW, SBP-315HMW, SBP-156HMW")</f>
        <v>Łącznik 1,5" (biały) Zestaw 4 sztuk kompatybilny z
Uchwytem sufitowym SBP-140CMB, SBP-180CMB, SBP-180CMS
Adapterem podwieszanym SBP-099HMW, SBP-120HMW, SBP-140HMW, SBP-160HMW1,
SBP-180HMW1, SBP-200HMW, SBP-250HMW, SBP-315HMW, SBP-156HMW</v>
      </c>
      <c r="K651" s="43" t="s">
        <v>21</v>
      </c>
      <c r="L651" s="44">
        <v>80.0</v>
      </c>
      <c r="M651" s="8"/>
      <c r="N651" s="45" t="s">
        <v>22</v>
      </c>
      <c r="O651" s="97"/>
      <c r="P651" s="36"/>
      <c r="Q651" s="35"/>
      <c r="R651" s="68"/>
      <c r="S651" s="68"/>
      <c r="T651" s="68"/>
      <c r="U651" s="35"/>
      <c r="V651" s="35"/>
      <c r="W651" s="35"/>
      <c r="X651" s="35"/>
      <c r="Y651" s="35"/>
      <c r="Z651" s="35"/>
      <c r="AA651" s="35"/>
      <c r="AB651" s="35"/>
      <c r="AC651" s="60"/>
      <c r="AD651" s="85"/>
      <c r="AE651" s="85"/>
      <c r="AF651" s="85"/>
      <c r="AG651" s="85"/>
      <c r="AH651" s="85"/>
      <c r="AI651" s="85"/>
      <c r="AJ651" s="85"/>
      <c r="AK651" s="85"/>
      <c r="AL651" s="85"/>
      <c r="AM651" s="85"/>
      <c r="AN651" s="85"/>
      <c r="AO651" s="85"/>
      <c r="AP651" s="85"/>
    </row>
    <row r="652" ht="79.5" customHeight="1">
      <c r="A652" s="29"/>
      <c r="B652" s="38" t="s">
        <v>23</v>
      </c>
      <c r="C652" s="39" t="s">
        <v>1805</v>
      </c>
      <c r="D652" s="40" t="s">
        <v>1806</v>
      </c>
      <c r="E652" s="118"/>
      <c r="F652" s="40"/>
      <c r="G652" s="39"/>
      <c r="H652" s="41" t="s">
        <v>79</v>
      </c>
      <c r="I652" s="48" t="s">
        <v>1807</v>
      </c>
      <c r="J652" s="42" t="str">
        <f>IFERROR(__xludf.DUMMYFUNCTION("GOOGLETRANSLATE(I652,""en"",""pl"")"),"Aluminiowa wbudowana podstawa instalacyjna SFPs do kamer PTZ XNP-6550RH, XNP-6320H i QNP-6230H, RJ-45 do światłowodu, czas realizacji zamówienia: 4 tygodnie")</f>
        <v>Aluminiowa wbudowana podstawa instalacyjna SFPs do kamer PTZ XNP-6550RH, XNP-6320H i QNP-6230H, RJ-45 do światłowodu, czas realizacji zamówienia: 4 tygodnie</v>
      </c>
      <c r="K652" s="43" t="s">
        <v>21</v>
      </c>
      <c r="L652" s="44">
        <v>269.0</v>
      </c>
      <c r="M652" s="8"/>
      <c r="N652" s="45" t="s">
        <v>22</v>
      </c>
      <c r="O652" s="97"/>
      <c r="P652" s="36"/>
      <c r="Q652" s="35"/>
      <c r="R652" s="68"/>
      <c r="S652" s="68"/>
      <c r="T652" s="68"/>
      <c r="U652" s="35"/>
      <c r="V652" s="35"/>
      <c r="W652" s="35"/>
      <c r="X652" s="35"/>
      <c r="Y652" s="35"/>
      <c r="Z652" s="35"/>
      <c r="AA652" s="35"/>
      <c r="AB652" s="35"/>
      <c r="AC652" s="60"/>
      <c r="AD652" s="85"/>
      <c r="AE652" s="85"/>
      <c r="AF652" s="85"/>
      <c r="AG652" s="85"/>
      <c r="AH652" s="85"/>
      <c r="AI652" s="85"/>
      <c r="AJ652" s="85"/>
      <c r="AK652" s="85"/>
      <c r="AL652" s="85"/>
      <c r="AM652" s="85"/>
      <c r="AN652" s="85"/>
      <c r="AO652" s="85"/>
      <c r="AP652" s="85"/>
    </row>
    <row r="653" ht="79.5" customHeight="1">
      <c r="A653" s="29"/>
      <c r="B653" s="38" t="s">
        <v>23</v>
      </c>
      <c r="C653" s="39" t="s">
        <v>1808</v>
      </c>
      <c r="D653" s="40" t="s">
        <v>1809</v>
      </c>
      <c r="E653" s="118"/>
      <c r="F653" s="40"/>
      <c r="G653" s="39"/>
      <c r="H653" s="41" t="s">
        <v>79</v>
      </c>
      <c r="I653" s="48" t="s">
        <v>1810</v>
      </c>
      <c r="J653" s="42" t="str">
        <f>IFERROR(__xludf.DUMMYFUNCTION("GOOGLETRANSLATE(I653,""en"",""pl"")"),"Uchwyt ścienny pochylony (poliwęglan), kompatybilny z QNF-8010, QNF-9010")</f>
        <v>Uchwyt ścienny pochylony (poliwęglan), kompatybilny z QNF-8010, QNF-9010</v>
      </c>
      <c r="K653" s="43" t="s">
        <v>21</v>
      </c>
      <c r="L653" s="44">
        <v>46.0</v>
      </c>
      <c r="M653" s="8"/>
      <c r="N653" s="45" t="s">
        <v>22</v>
      </c>
      <c r="O653" s="97"/>
      <c r="P653" s="36"/>
      <c r="Q653" s="35"/>
      <c r="R653" s="68"/>
      <c r="S653" s="68"/>
      <c r="T653" s="68"/>
      <c r="U653" s="35"/>
      <c r="V653" s="35"/>
      <c r="W653" s="35"/>
      <c r="X653" s="35"/>
      <c r="Y653" s="35"/>
      <c r="Z653" s="35"/>
      <c r="AA653" s="35"/>
      <c r="AB653" s="35"/>
      <c r="AC653" s="60"/>
      <c r="AD653" s="85"/>
      <c r="AE653" s="85"/>
      <c r="AF653" s="85"/>
      <c r="AG653" s="85"/>
      <c r="AH653" s="85"/>
      <c r="AI653" s="85"/>
      <c r="AJ653" s="85"/>
      <c r="AK653" s="85"/>
      <c r="AL653" s="85"/>
      <c r="AM653" s="85"/>
      <c r="AN653" s="85"/>
      <c r="AO653" s="85"/>
      <c r="AP653" s="85"/>
    </row>
    <row r="654" ht="79.5" customHeight="1">
      <c r="A654" s="29"/>
      <c r="B654" s="38" t="s">
        <v>23</v>
      </c>
      <c r="C654" s="39" t="s">
        <v>1811</v>
      </c>
      <c r="D654" s="40" t="s">
        <v>1809</v>
      </c>
      <c r="E654" s="118"/>
      <c r="F654" s="40"/>
      <c r="G654" s="39"/>
      <c r="H654" s="41" t="s">
        <v>79</v>
      </c>
      <c r="I654" s="48" t="s">
        <v>1812</v>
      </c>
      <c r="J654" s="42" t="str">
        <f>IFERROR(__xludf.DUMMYFUNCTION("GOOGLETRANSLATE(I654,""en"",""pl"")"),"Uchwyt ścienny pochylany (poliwęglan), pochylenie 23°, kompatybilny z XND-6085/6085V, XNV-6080/R/6085/R/8080R, XNV-L6084/R, PNV-9080R, SNV-8081/8080/7084/R/6084/R/6085R/5084/R, SCV-6081R")</f>
        <v>Uchwyt ścienny pochylany (poliwęglan), pochylenie 23°, kompatybilny z XND-6085/6085V, XNV-6080/R/6085/R/8080R, XNV-L6084/R, PNV-9080R, SNV-8081/8080/7084/R/6084/R/6085R/5084/R, SCV-6081R</v>
      </c>
      <c r="K654" s="43" t="s">
        <v>21</v>
      </c>
      <c r="L654" s="44">
        <v>16.0</v>
      </c>
      <c r="M654" s="8"/>
      <c r="N654" s="45" t="s">
        <v>22</v>
      </c>
      <c r="O654" s="97"/>
      <c r="P654" s="36"/>
      <c r="Q654" s="35"/>
      <c r="R654" s="68"/>
      <c r="S654" s="68"/>
      <c r="T654" s="68"/>
      <c r="U654" s="35"/>
      <c r="V654" s="35"/>
      <c r="W654" s="35"/>
      <c r="X654" s="35"/>
      <c r="Y654" s="35"/>
      <c r="Z654" s="35"/>
      <c r="AA654" s="35"/>
      <c r="AB654" s="35"/>
      <c r="AC654" s="60"/>
      <c r="AD654" s="85"/>
      <c r="AE654" s="85"/>
      <c r="AF654" s="85"/>
      <c r="AG654" s="85"/>
      <c r="AH654" s="85"/>
      <c r="AI654" s="85"/>
      <c r="AJ654" s="85"/>
      <c r="AK654" s="85"/>
      <c r="AL654" s="85"/>
      <c r="AM654" s="85"/>
      <c r="AN654" s="85"/>
      <c r="AO654" s="85"/>
      <c r="AP654" s="85"/>
    </row>
    <row r="655" ht="79.5" customHeight="1">
      <c r="A655" s="29"/>
      <c r="B655" s="38" t="s">
        <v>23</v>
      </c>
      <c r="C655" s="39" t="s">
        <v>1813</v>
      </c>
      <c r="D655" s="40" t="s">
        <v>1609</v>
      </c>
      <c r="E655" s="118"/>
      <c r="F655" s="40"/>
      <c r="G655" s="39"/>
      <c r="H655" s="41" t="s">
        <v>79</v>
      </c>
      <c r="I655" s="48" t="s">
        <v>1814</v>
      </c>
      <c r="J655" s="42" t="str">
        <f>IFERROR(__xludf.DUMMYFUNCTION("GOOGLETRANSLATE(I655,""en"",""pl"")"),"Uchwyt ścienny (aluminium), RAL9003; Tylko do użytku wewnątrz pomieszczeń; Kompatybilny z XND-C6083RV/C7083RV/ C8083RV/C9083RV XND-6083RV/8083RV/9083RV XNV-C6083R/C7083R/C8083R/C9083R, XND-8082RV/9082RV, XNF-9010RV/9013RV, PND-A6081RV/A9081RV")</f>
        <v>Uchwyt ścienny (aluminium), RAL9003; Tylko do użytku wewnątrz pomieszczeń; Kompatybilny z XND-C6083RV/C7083RV/ C8083RV/C9083RV XND-6083RV/8083RV/9083RV XNV-C6083R/C7083R/C8083R/C9083R, XND-8082RV/9082RV, XNF-9010RV/9013RV, PND-A6081RV/A9081RV</v>
      </c>
      <c r="K655" s="43" t="s">
        <v>189</v>
      </c>
      <c r="L655" s="44">
        <v>73.0</v>
      </c>
      <c r="M655" s="8"/>
      <c r="N655" s="45" t="s">
        <v>22</v>
      </c>
      <c r="O655" s="97"/>
      <c r="P655" s="36"/>
      <c r="Q655" s="35"/>
      <c r="R655" s="68"/>
      <c r="S655" s="68"/>
      <c r="T655" s="68"/>
      <c r="U655" s="35"/>
      <c r="V655" s="35"/>
      <c r="W655" s="35"/>
      <c r="X655" s="35"/>
      <c r="Y655" s="35"/>
      <c r="Z655" s="35"/>
      <c r="AA655" s="35"/>
      <c r="AB655" s="35"/>
      <c r="AC655" s="60"/>
      <c r="AD655" s="85"/>
      <c r="AE655" s="85"/>
      <c r="AF655" s="85"/>
      <c r="AG655" s="85"/>
      <c r="AH655" s="85"/>
      <c r="AI655" s="85"/>
      <c r="AJ655" s="85"/>
      <c r="AK655" s="85"/>
      <c r="AL655" s="85"/>
      <c r="AM655" s="85"/>
      <c r="AN655" s="85"/>
      <c r="AO655" s="85"/>
      <c r="AP655" s="85"/>
    </row>
    <row r="656" ht="79.5" customHeight="1">
      <c r="A656" s="29"/>
      <c r="B656" s="38" t="s">
        <v>23</v>
      </c>
      <c r="C656" s="39" t="s">
        <v>1815</v>
      </c>
      <c r="D656" s="40" t="s">
        <v>1609</v>
      </c>
      <c r="E656" s="118"/>
      <c r="F656" s="40"/>
      <c r="G656" s="39"/>
      <c r="H656" s="41" t="s">
        <v>79</v>
      </c>
      <c r="I656" s="48" t="s">
        <v>1816</v>
      </c>
      <c r="J656" s="42" t="str">
        <f>IFERROR(__xludf.DUMMYFUNCTION("GOOGLETRANSLATE(I656,""en"",""pl"")"),"Uchwyt ścienny (aluminium), RAL9003; Tylko do użytku wewnątrz pomieszczeń; Kompatybilny z QNV-C8083R/9083R, biały")</f>
        <v>Uchwyt ścienny (aluminium), RAL9003; Tylko do użytku wewnątrz pomieszczeń; Kompatybilny z QNV-C8083R/9083R, biały</v>
      </c>
      <c r="K656" s="43" t="s">
        <v>189</v>
      </c>
      <c r="L656" s="44">
        <v>65.0</v>
      </c>
      <c r="M656" s="8"/>
      <c r="N656" s="45" t="s">
        <v>22</v>
      </c>
      <c r="O656" s="97"/>
      <c r="P656" s="36"/>
      <c r="Q656" s="35"/>
      <c r="R656" s="68"/>
      <c r="S656" s="68"/>
      <c r="T656" s="68"/>
      <c r="U656" s="35"/>
      <c r="V656" s="35"/>
      <c r="W656" s="35"/>
      <c r="X656" s="35"/>
      <c r="Y656" s="35"/>
      <c r="Z656" s="35"/>
      <c r="AA656" s="35"/>
      <c r="AB656" s="35"/>
      <c r="AC656" s="60"/>
      <c r="AD656" s="85"/>
      <c r="AE656" s="85"/>
      <c r="AF656" s="85"/>
      <c r="AG656" s="85"/>
      <c r="AH656" s="85"/>
      <c r="AI656" s="85"/>
      <c r="AJ656" s="85"/>
      <c r="AK656" s="85"/>
      <c r="AL656" s="85"/>
      <c r="AM656" s="85"/>
      <c r="AN656" s="85"/>
      <c r="AO656" s="85"/>
      <c r="AP656" s="85"/>
    </row>
    <row r="657" ht="79.5" customHeight="1">
      <c r="A657" s="29"/>
      <c r="B657" s="38" t="s">
        <v>23</v>
      </c>
      <c r="C657" s="39" t="s">
        <v>1817</v>
      </c>
      <c r="D657" s="40" t="s">
        <v>1753</v>
      </c>
      <c r="E657" s="118"/>
      <c r="F657" s="40"/>
      <c r="G657" s="39"/>
      <c r="H657" s="41" t="s">
        <v>79</v>
      </c>
      <c r="I657" s="48" t="s">
        <v>1818</v>
      </c>
      <c r="J657" s="42" t="str">
        <f>IFERROR(__xludf.DUMMYFUNCTION("GOOGLETRANSLATE(I657,""en"",""pl"")"),"Uchwyt sufitowy kompatybilny z TNMC3620TDR/C3622TDR")</f>
        <v>Uchwyt sufitowy kompatybilny z TNMC3620TDR/C3622TDR</v>
      </c>
      <c r="K657" s="43" t="s">
        <v>189</v>
      </c>
      <c r="L657" s="44">
        <v>133.0</v>
      </c>
      <c r="M657" s="8"/>
      <c r="N657" s="45" t="s">
        <v>22</v>
      </c>
      <c r="O657" s="97"/>
      <c r="P657" s="36"/>
      <c r="Q657" s="35"/>
      <c r="R657" s="68"/>
      <c r="S657" s="68"/>
      <c r="T657" s="68"/>
      <c r="U657" s="35"/>
      <c r="V657" s="35"/>
      <c r="W657" s="35"/>
      <c r="X657" s="35"/>
      <c r="Y657" s="35"/>
      <c r="Z657" s="35"/>
      <c r="AA657" s="35"/>
      <c r="AB657" s="35"/>
      <c r="AC657" s="60"/>
      <c r="AD657" s="85"/>
      <c r="AE657" s="85"/>
      <c r="AF657" s="85"/>
      <c r="AG657" s="85"/>
      <c r="AH657" s="85"/>
      <c r="AI657" s="85"/>
      <c r="AJ657" s="85"/>
      <c r="AK657" s="85"/>
      <c r="AL657" s="85"/>
      <c r="AM657" s="85"/>
      <c r="AN657" s="85"/>
      <c r="AO657" s="85"/>
      <c r="AP657" s="85"/>
    </row>
    <row r="658" ht="79.5" customHeight="1">
      <c r="A658" s="29"/>
      <c r="B658" s="38" t="s">
        <v>23</v>
      </c>
      <c r="C658" s="39" t="s">
        <v>1819</v>
      </c>
      <c r="D658" s="40" t="s">
        <v>1609</v>
      </c>
      <c r="E658" s="118"/>
      <c r="F658" s="40"/>
      <c r="G658" s="39"/>
      <c r="H658" s="41" t="s">
        <v>79</v>
      </c>
      <c r="I658" s="48" t="s">
        <v>1820</v>
      </c>
      <c r="J658" s="42" t="str">
        <f>IFERROR(__xludf.DUMMYFUNCTION("GOOGLETRANSLATE(I658,""en"",""pl"")"),"Uchwyt ścienny kompatybilny z TNMC3620TDR/C3622TDR")</f>
        <v>Uchwyt ścienny kompatybilny z TNMC3620TDR/C3622TDR</v>
      </c>
      <c r="K658" s="43" t="s">
        <v>189</v>
      </c>
      <c r="L658" s="44">
        <v>267.0</v>
      </c>
      <c r="M658" s="8"/>
      <c r="N658" s="45" t="s">
        <v>22</v>
      </c>
      <c r="O658" s="97"/>
      <c r="P658" s="36"/>
      <c r="Q658" s="35"/>
      <c r="R658" s="68"/>
      <c r="S658" s="68"/>
      <c r="T658" s="68"/>
      <c r="U658" s="35"/>
      <c r="V658" s="35"/>
      <c r="W658" s="35"/>
      <c r="X658" s="35"/>
      <c r="Y658" s="35"/>
      <c r="Z658" s="35"/>
      <c r="AA658" s="35"/>
      <c r="AB658" s="35"/>
      <c r="AC658" s="60"/>
      <c r="AD658" s="85"/>
      <c r="AE658" s="85"/>
      <c r="AF658" s="85"/>
      <c r="AG658" s="85"/>
      <c r="AH658" s="85"/>
      <c r="AI658" s="85"/>
      <c r="AJ658" s="85"/>
      <c r="AK658" s="85"/>
      <c r="AL658" s="85"/>
      <c r="AM658" s="85"/>
      <c r="AN658" s="85"/>
      <c r="AO658" s="85"/>
      <c r="AP658" s="85"/>
    </row>
    <row r="659" ht="79.5" customHeight="1">
      <c r="A659" s="29"/>
      <c r="B659" s="38" t="s">
        <v>23</v>
      </c>
      <c r="C659" s="39" t="s">
        <v>1821</v>
      </c>
      <c r="D659" s="40" t="s">
        <v>1809</v>
      </c>
      <c r="E659" s="118"/>
      <c r="F659" s="40"/>
      <c r="G659" s="39"/>
      <c r="H659" s="41" t="s">
        <v>79</v>
      </c>
      <c r="I659" s="48" t="s">
        <v>1822</v>
      </c>
      <c r="J659" s="42" t="str">
        <f>IFERROR(__xludf.DUMMYFUNCTION("GOOGLETRANSLATE(I659,""en"",""pl"")"),"Odchylany uchwyt ścienny (poliwęglan), nachylenie 23°, kompatybilny z PND-A6081RV, PND-A9081RV, XND-6081REV, XND-6081RV, XND-6081V, XND-6081VZ, XND-8081REV, XND-8081RV, XND-8081VZ, XND-8082RV, XND-9082RV, XNF-9010RV, XNF-9010RVM, biały")</f>
        <v>Odchylany uchwyt ścienny (poliwęglan), nachylenie 23°, kompatybilny z PND-A6081RV, PND-A9081RV, XND-6081REV, XND-6081RV, XND-6081V, XND-6081VZ, XND-8081REV, XND-8081RV, XND-8081VZ, XND-8082RV, XND-9082RV, XNF-9010RV, XNF-9010RVM, biały</v>
      </c>
      <c r="K659" s="43" t="s">
        <v>21</v>
      </c>
      <c r="L659" s="44">
        <v>46.0</v>
      </c>
      <c r="M659" s="8"/>
      <c r="N659" s="45" t="s">
        <v>22</v>
      </c>
      <c r="O659" s="97"/>
      <c r="P659" s="36"/>
      <c r="Q659" s="35"/>
      <c r="R659" s="68"/>
      <c r="S659" s="68"/>
      <c r="T659" s="68"/>
      <c r="U659" s="35"/>
      <c r="V659" s="35"/>
      <c r="W659" s="35"/>
      <c r="X659" s="35"/>
      <c r="Y659" s="35"/>
      <c r="Z659" s="35"/>
      <c r="AA659" s="35"/>
      <c r="AB659" s="35"/>
      <c r="AC659" s="60"/>
      <c r="AD659" s="85"/>
      <c r="AE659" s="85"/>
      <c r="AF659" s="85"/>
      <c r="AG659" s="85"/>
      <c r="AH659" s="85"/>
      <c r="AI659" s="85"/>
      <c r="AJ659" s="85"/>
      <c r="AK659" s="85"/>
      <c r="AL659" s="85"/>
      <c r="AM659" s="85"/>
      <c r="AN659" s="85"/>
      <c r="AO659" s="85"/>
      <c r="AP659" s="85"/>
    </row>
    <row r="660" ht="79.5" customHeight="1">
      <c r="A660" s="29"/>
      <c r="B660" s="38" t="s">
        <v>23</v>
      </c>
      <c r="C660" s="39" t="s">
        <v>1823</v>
      </c>
      <c r="D660" s="40" t="s">
        <v>1809</v>
      </c>
      <c r="E660" s="118"/>
      <c r="F660" s="40"/>
      <c r="G660" s="39"/>
      <c r="H660" s="41" t="s">
        <v>79</v>
      </c>
      <c r="I660" s="48" t="s">
        <v>1824</v>
      </c>
      <c r="J660" s="42" t="str">
        <f>IFERROR(__xludf.DUMMYFUNCTION("GOOGLETRANSLATE(I660,""en"",""pl"")"),"Uchwyt ścienny pochylany (poliwęglan), pochylenie 20°, kompatybilny z kamerami typu rybie oko 5 MP (SNF-8010, SNF-8010VM, XNF-8010R/RV/RVM, PNF-9010R/RV/RVM), kość słoniowa")</f>
        <v>Uchwyt ścienny pochylany (poliwęglan), pochylenie 20°, kompatybilny z kamerami typu rybie oko 5 MP (SNF-8010, SNF-8010VM, XNF-8010R/RV/RVM, PNF-9010R/RV/RVM), kość słoniowa</v>
      </c>
      <c r="K660" s="43" t="s">
        <v>21</v>
      </c>
      <c r="L660" s="44">
        <v>55.0</v>
      </c>
      <c r="M660" s="8"/>
      <c r="N660" s="45" t="s">
        <v>22</v>
      </c>
      <c r="O660" s="97"/>
      <c r="P660" s="36"/>
      <c r="Q660" s="35"/>
      <c r="R660" s="68"/>
      <c r="S660" s="68"/>
      <c r="T660" s="68"/>
      <c r="U660" s="35"/>
      <c r="V660" s="35"/>
      <c r="W660" s="35"/>
      <c r="X660" s="35"/>
      <c r="Y660" s="35"/>
      <c r="Z660" s="35"/>
      <c r="AA660" s="35"/>
      <c r="AB660" s="35"/>
      <c r="AC660" s="60"/>
      <c r="AD660" s="85"/>
      <c r="AE660" s="85"/>
      <c r="AF660" s="85"/>
      <c r="AG660" s="85"/>
      <c r="AH660" s="85"/>
      <c r="AI660" s="85"/>
      <c r="AJ660" s="85"/>
      <c r="AK660" s="85"/>
      <c r="AL660" s="85"/>
      <c r="AM660" s="85"/>
      <c r="AN660" s="85"/>
      <c r="AO660" s="85"/>
      <c r="AP660" s="85"/>
    </row>
    <row r="661" ht="79.5" customHeight="1">
      <c r="A661" s="29"/>
      <c r="B661" s="38" t="s">
        <v>23</v>
      </c>
      <c r="C661" s="39" t="s">
        <v>1825</v>
      </c>
      <c r="D661" s="40" t="s">
        <v>1826</v>
      </c>
      <c r="E661" s="118"/>
      <c r="F661" s="40"/>
      <c r="G661" s="39"/>
      <c r="H661" s="41" t="s">
        <v>79</v>
      </c>
      <c r="I661" s="48" t="s">
        <v>1827</v>
      </c>
      <c r="J661" s="42" t="str">
        <f>IFERROR(__xludf.DUMMYFUNCTION("GOOGLETRANSLATE(I661,""en"",""pl"")"),"Aluminiowa obudowa tylna do kamer typu „rybie oko”, kompatybilna z modelami SNF-8010/VM, XNF-8010R/RV/RVM, PNF-9010R/RV/RVM")</f>
        <v>Aluminiowa obudowa tylna do kamer typu „rybie oko”, kompatybilna z modelami SNF-8010/VM, XNF-8010R/RV/RVM, PNF-9010R/RV/RVM</v>
      </c>
      <c r="K661" s="43" t="s">
        <v>21</v>
      </c>
      <c r="L661" s="44">
        <v>26.0</v>
      </c>
      <c r="M661" s="8"/>
      <c r="N661" s="45" t="s">
        <v>22</v>
      </c>
      <c r="O661" s="97"/>
      <c r="P661" s="36"/>
      <c r="Q661" s="35"/>
      <c r="R661" s="68"/>
      <c r="S661" s="68"/>
      <c r="T661" s="68"/>
      <c r="U661" s="35"/>
      <c r="V661" s="35"/>
      <c r="W661" s="35"/>
      <c r="X661" s="35"/>
      <c r="Y661" s="35"/>
      <c r="Z661" s="35"/>
      <c r="AA661" s="35"/>
      <c r="AB661" s="35"/>
      <c r="AC661" s="60"/>
      <c r="AD661" s="85"/>
      <c r="AE661" s="85"/>
      <c r="AF661" s="85"/>
      <c r="AG661" s="85"/>
      <c r="AH661" s="85"/>
      <c r="AI661" s="85"/>
      <c r="AJ661" s="85"/>
      <c r="AK661" s="85"/>
      <c r="AL661" s="85"/>
      <c r="AM661" s="85"/>
      <c r="AN661" s="85"/>
      <c r="AO661" s="85"/>
      <c r="AP661" s="85"/>
    </row>
    <row r="662" ht="79.5" customHeight="1">
      <c r="A662" s="29"/>
      <c r="B662" s="38" t="s">
        <v>23</v>
      </c>
      <c r="C662" s="39" t="s">
        <v>1828</v>
      </c>
      <c r="D662" s="40" t="s">
        <v>1826</v>
      </c>
      <c r="E662" s="118"/>
      <c r="F662" s="40"/>
      <c r="G662" s="39"/>
      <c r="H662" s="41" t="s">
        <v>79</v>
      </c>
      <c r="I662" s="48" t="s">
        <v>1827</v>
      </c>
      <c r="J662" s="42" t="str">
        <f>IFERROR(__xludf.DUMMYFUNCTION("GOOGLETRANSLATE(I662,""en"",""pl"")"),"Aluminiowa obudowa tylna do kamer typu „rybie oko”, kompatybilna z modelami SNF-8010/VM, XNF-8010R/RV/RVM, PNF-9010R/RV/RVM")</f>
        <v>Aluminiowa obudowa tylna do kamer typu „rybie oko”, kompatybilna z modelami SNF-8010/VM, XNF-8010R/RV/RVM, PNF-9010R/RV/RVM</v>
      </c>
      <c r="K662" s="43" t="s">
        <v>21</v>
      </c>
      <c r="L662" s="44">
        <v>22.0</v>
      </c>
      <c r="M662" s="8"/>
      <c r="N662" s="45" t="s">
        <v>22</v>
      </c>
      <c r="O662" s="97"/>
      <c r="P662" s="35"/>
      <c r="Q662" s="35"/>
      <c r="R662" s="68"/>
      <c r="S662" s="68"/>
      <c r="T662" s="68"/>
      <c r="U662" s="35"/>
      <c r="V662" s="35"/>
      <c r="W662" s="35"/>
      <c r="X662" s="35"/>
      <c r="Y662" s="35"/>
      <c r="Z662" s="35"/>
      <c r="AA662" s="35"/>
      <c r="AB662" s="35"/>
      <c r="AC662" s="101"/>
      <c r="AD662" s="98"/>
      <c r="AE662" s="98"/>
      <c r="AF662" s="98"/>
      <c r="AG662" s="98"/>
      <c r="AH662" s="98"/>
      <c r="AI662" s="98"/>
      <c r="AJ662" s="98"/>
      <c r="AK662" s="98"/>
      <c r="AL662" s="98"/>
      <c r="AM662" s="98"/>
      <c r="AN662" s="98"/>
      <c r="AO662" s="98"/>
      <c r="AP662" s="98"/>
    </row>
    <row r="663" ht="79.5" customHeight="1">
      <c r="A663" s="29"/>
      <c r="B663" s="38" t="s">
        <v>23</v>
      </c>
      <c r="C663" s="39" t="s">
        <v>1829</v>
      </c>
      <c r="D663" s="40" t="s">
        <v>1830</v>
      </c>
      <c r="E663" s="118"/>
      <c r="F663" s="40"/>
      <c r="G663" s="39"/>
      <c r="H663" s="41" t="s">
        <v>79</v>
      </c>
      <c r="I663" s="125" t="s">
        <v>1831</v>
      </c>
      <c r="J663" s="42" t="str">
        <f>IFERROR(__xludf.DUMMYFUNCTION("GOOGLETRANSLATE(I663,""en"",""pl"")"),"Aluminiowa obudowa tylna do kamer typu bullet, kompatybilna z modelami QNO-6030R / 6020R / 6010R, QNO-6032R1/ 6022R1/ 6012R1, QNO-7030R / 7020R / 7010R, QNO-7080R/6070R, SNO-L6083R / L5083R, SCO-6083R")</f>
        <v>Aluminiowa obudowa tylna do kamer typu bullet, kompatybilna z modelami QNO-6030R / 6020R / 6010R, QNO-6032R1/ 6022R1/ 6012R1, QNO-7030R / 7020R / 7010R, QNO-7080R/6070R, SNO-L6083R / L5083R, SCO-6083R</v>
      </c>
      <c r="K663" s="43" t="s">
        <v>21</v>
      </c>
      <c r="L663" s="44">
        <v>46.0</v>
      </c>
      <c r="M663" s="8"/>
      <c r="N663" s="45" t="s">
        <v>22</v>
      </c>
      <c r="O663" s="97"/>
      <c r="P663" s="36"/>
      <c r="Q663" s="35"/>
      <c r="R663" s="68"/>
      <c r="S663" s="68"/>
      <c r="T663" s="68"/>
      <c r="U663" s="35"/>
      <c r="V663" s="35"/>
      <c r="W663" s="35"/>
      <c r="X663" s="35"/>
      <c r="Y663" s="35"/>
      <c r="Z663" s="35"/>
      <c r="AA663" s="35"/>
      <c r="AB663" s="35"/>
      <c r="AC663" s="60"/>
      <c r="AD663" s="85"/>
      <c r="AE663" s="85"/>
      <c r="AF663" s="85"/>
      <c r="AG663" s="85"/>
      <c r="AH663" s="85"/>
      <c r="AI663" s="85"/>
      <c r="AJ663" s="85"/>
      <c r="AK663" s="85"/>
      <c r="AL663" s="85"/>
      <c r="AM663" s="85"/>
      <c r="AN663" s="85"/>
      <c r="AO663" s="85"/>
      <c r="AP663" s="85"/>
    </row>
    <row r="664" ht="79.5" customHeight="1">
      <c r="A664" s="29"/>
      <c r="B664" s="38" t="s">
        <v>23</v>
      </c>
      <c r="C664" s="39" t="s">
        <v>1832</v>
      </c>
      <c r="D664" s="40" t="s">
        <v>1830</v>
      </c>
      <c r="E664" s="118"/>
      <c r="F664" s="40"/>
      <c r="G664" s="39"/>
      <c r="H664" s="41" t="s">
        <v>79</v>
      </c>
      <c r="I664" s="125" t="s">
        <v>1833</v>
      </c>
      <c r="J664" s="42" t="str">
        <f>IFERROR(__xludf.DUMMYFUNCTION("GOOGLETRANSLATE(I664,""en"",""pl"")"),"Aluminiowa wodoodporna obudowa tylna do kamery typu bullet, kompatybilna z QNO-6082R, IP66/IK10, QNO-6012R, QNO-6022R, QNO-6032R, QNO-7082R")</f>
        <v>Aluminiowa wodoodporna obudowa tylna do kamery typu bullet, kompatybilna z QNO-6082R, IP66/IK10, QNO-6012R, QNO-6022R, QNO-6032R, QNO-7082R</v>
      </c>
      <c r="K664" s="43" t="s">
        <v>21</v>
      </c>
      <c r="L664" s="44">
        <v>75.0</v>
      </c>
      <c r="M664" s="8"/>
      <c r="N664" s="45" t="s">
        <v>22</v>
      </c>
      <c r="O664" s="97"/>
      <c r="P664" s="36"/>
      <c r="Q664" s="35"/>
      <c r="R664" s="68"/>
      <c r="S664" s="68"/>
      <c r="T664" s="68"/>
      <c r="U664" s="35"/>
      <c r="V664" s="35"/>
      <c r="W664" s="35"/>
      <c r="X664" s="35"/>
      <c r="Y664" s="35"/>
      <c r="Z664" s="35"/>
      <c r="AA664" s="35"/>
      <c r="AB664" s="35"/>
      <c r="AC664" s="60"/>
      <c r="AD664" s="85"/>
      <c r="AE664" s="85"/>
      <c r="AF664" s="85"/>
      <c r="AG664" s="85"/>
      <c r="AH664" s="85"/>
      <c r="AI664" s="85"/>
      <c r="AJ664" s="85"/>
      <c r="AK664" s="85"/>
      <c r="AL664" s="85"/>
      <c r="AM664" s="85"/>
      <c r="AN664" s="85"/>
      <c r="AO664" s="85"/>
      <c r="AP664" s="85"/>
    </row>
    <row r="665" ht="79.5" customHeight="1">
      <c r="A665" s="29"/>
      <c r="B665" s="38" t="s">
        <v>23</v>
      </c>
      <c r="C665" s="39" t="s">
        <v>1834</v>
      </c>
      <c r="D665" s="40" t="s">
        <v>1503</v>
      </c>
      <c r="E665" s="118"/>
      <c r="F665" s="40"/>
      <c r="G665" s="39"/>
      <c r="H665" s="41" t="s">
        <v>79</v>
      </c>
      <c r="I665" s="48" t="s">
        <v>1835</v>
      </c>
      <c r="J665" s="42" t="str">
        <f>IFERROR(__xludf.DUMMYFUNCTION("GOOGLETRANSLATE(I665,""en"",""pl"")"),"Pokrywa - aluminium, pokrywa górna - poliwęglanowa obudowa tylna, biała, RAL9003, kompatybilna z XNO-C6083R/C7083R/C8083R/C9083R
")</f>
        <v>Pokrywa - aluminium, pokrywa górna - poliwęglanowa obudowa tylna, biała, RAL9003, kompatybilna z XNO-C6083R/C7083R/C8083R/C9083R
</v>
      </c>
      <c r="K665" s="43" t="s">
        <v>21</v>
      </c>
      <c r="L665" s="44">
        <v>20.0</v>
      </c>
      <c r="M665" s="8"/>
      <c r="N665" s="45" t="s">
        <v>22</v>
      </c>
      <c r="O665" s="97"/>
      <c r="P665" s="35"/>
      <c r="Q665" s="35"/>
      <c r="R665" s="68"/>
      <c r="S665" s="68"/>
      <c r="T665" s="68"/>
      <c r="U665" s="35"/>
      <c r="V665" s="35"/>
      <c r="W665" s="35"/>
      <c r="X665" s="35"/>
      <c r="Y665" s="35"/>
      <c r="Z665" s="35"/>
      <c r="AA665" s="35"/>
      <c r="AB665" s="35"/>
      <c r="AC665" s="101"/>
      <c r="AD665" s="98"/>
      <c r="AE665" s="98"/>
      <c r="AF665" s="98"/>
      <c r="AG665" s="98"/>
      <c r="AH665" s="98"/>
      <c r="AI665" s="98"/>
      <c r="AJ665" s="98"/>
      <c r="AK665" s="98"/>
      <c r="AL665" s="98"/>
      <c r="AM665" s="98"/>
      <c r="AN665" s="98"/>
      <c r="AO665" s="98"/>
      <c r="AP665" s="98"/>
    </row>
    <row r="666" ht="79.5" customHeight="1">
      <c r="A666" s="29"/>
      <c r="B666" s="38" t="s">
        <v>23</v>
      </c>
      <c r="C666" s="39" t="s">
        <v>1836</v>
      </c>
      <c r="D666" s="40" t="s">
        <v>1837</v>
      </c>
      <c r="E666" s="118"/>
      <c r="F666" s="40"/>
      <c r="G666" s="39"/>
      <c r="H666" s="41" t="s">
        <v>79</v>
      </c>
      <c r="I666" s="48" t="s">
        <v>1838</v>
      </c>
      <c r="J666" s="42" t="str">
        <f>IFERROR(__xludf.DUMMYFUNCTION("GOOGLETRANSLATE(I666,""en"",""pl"")"),"Skrzynka tylna kopułowa z wycięciami, kompatybilna z XNV-6011, SNV-6013")</f>
        <v>Skrzynka tylna kopułowa z wycięciami, kompatybilna z XNV-6011, SNV-6013</v>
      </c>
      <c r="K666" s="43" t="s">
        <v>21</v>
      </c>
      <c r="L666" s="44">
        <v>46.0</v>
      </c>
      <c r="M666" s="8"/>
      <c r="N666" s="45" t="s">
        <v>22</v>
      </c>
      <c r="O666" s="97"/>
      <c r="P666" s="36"/>
      <c r="Q666" s="35"/>
      <c r="R666" s="68"/>
      <c r="S666" s="68"/>
      <c r="T666" s="68"/>
      <c r="U666" s="35"/>
      <c r="V666" s="35"/>
      <c r="W666" s="35"/>
      <c r="X666" s="35"/>
      <c r="Y666" s="35"/>
      <c r="Z666" s="35"/>
      <c r="AA666" s="35"/>
      <c r="AB666" s="35"/>
      <c r="AC666" s="60"/>
      <c r="AD666" s="85"/>
      <c r="AE666" s="85"/>
      <c r="AF666" s="85"/>
      <c r="AG666" s="85"/>
      <c r="AH666" s="85"/>
      <c r="AI666" s="85"/>
      <c r="AJ666" s="85"/>
      <c r="AK666" s="85"/>
      <c r="AL666" s="85"/>
      <c r="AM666" s="85"/>
      <c r="AN666" s="85"/>
      <c r="AO666" s="85"/>
      <c r="AP666" s="85"/>
    </row>
    <row r="667" ht="79.5" customHeight="1">
      <c r="A667" s="29"/>
      <c r="B667" s="38" t="s">
        <v>23</v>
      </c>
      <c r="C667" s="39" t="s">
        <v>1839</v>
      </c>
      <c r="D667" s="40" t="s">
        <v>1840</v>
      </c>
      <c r="E667" s="118"/>
      <c r="F667" s="40"/>
      <c r="G667" s="39"/>
      <c r="H667" s="41" t="s">
        <v>79</v>
      </c>
      <c r="I667" s="48" t="s">
        <v>1841</v>
      </c>
      <c r="J667" s="42" t="str">
        <f>IFERROR(__xludf.DUMMYFUNCTION("GOOGLETRANSLATE(I667,""en"",""pl"")"),"Wodoodporna aluminiowa obudowa tylna z panelami wyłamywanymi, kompatybilna z XNP-6040H, QNV-7080R, QNV-6070R, HCV-6070R/6080R, HCV-6080, HCV-7070R/7080R, SNV-L6083R, SNV-L5083R, SCV-5082, SCV-5083, SCV-5085, SCV-5083R, SCV-6083R/ 6023R, kość słoniowa")</f>
        <v>Wodoodporna aluminiowa obudowa tylna z panelami wyłamywanymi, kompatybilna z XNP-6040H, QNV-7080R, QNV-6070R, HCV-6070R/6080R, HCV-6080, HCV-7070R/7080R, SNV-L6083R, SNV-L5083R, SCV-5082, SCV-5083, SCV-5085, SCV-5083R, SCV-6083R/ 6023R, kość słoniowa</v>
      </c>
      <c r="K667" s="43" t="s">
        <v>21</v>
      </c>
      <c r="L667" s="44">
        <v>33.0</v>
      </c>
      <c r="M667" s="8"/>
      <c r="N667" s="45" t="s">
        <v>22</v>
      </c>
      <c r="O667" s="97"/>
      <c r="P667" s="36"/>
      <c r="Q667" s="35"/>
      <c r="R667" s="68"/>
      <c r="S667" s="68"/>
      <c r="T667" s="68"/>
      <c r="U667" s="35"/>
      <c r="V667" s="35"/>
      <c r="W667" s="35"/>
      <c r="X667" s="35"/>
      <c r="Y667" s="35"/>
      <c r="Z667" s="35"/>
      <c r="AA667" s="35"/>
      <c r="AB667" s="35"/>
      <c r="AC667" s="60"/>
      <c r="AD667" s="85"/>
      <c r="AE667" s="85"/>
      <c r="AF667" s="85"/>
      <c r="AG667" s="85"/>
      <c r="AH667" s="85"/>
      <c r="AI667" s="85"/>
      <c r="AJ667" s="85"/>
      <c r="AK667" s="85"/>
      <c r="AL667" s="85"/>
      <c r="AM667" s="85"/>
      <c r="AN667" s="85"/>
      <c r="AO667" s="85"/>
      <c r="AP667" s="85"/>
    </row>
    <row r="668" ht="79.5" customHeight="1">
      <c r="A668" s="29"/>
      <c r="B668" s="38" t="s">
        <v>23</v>
      </c>
      <c r="C668" s="39" t="s">
        <v>1842</v>
      </c>
      <c r="D668" s="40" t="s">
        <v>1840</v>
      </c>
      <c r="E668" s="118"/>
      <c r="F668" s="40"/>
      <c r="G668" s="39"/>
      <c r="H668" s="41" t="s">
        <v>79</v>
      </c>
      <c r="I668" s="48" t="s">
        <v>1843</v>
      </c>
      <c r="J668" s="42" t="str">
        <f>IFERROR(__xludf.DUMMYFUNCTION("GOOGLETRANSLATE(I668,""en"",""pl"")"),"Aluminiowa obudowa tylna z panelami wyłamywanymi, kompatybilna z QNV-8080R, QNV-6082R/6082R1, biała")</f>
        <v>Aluminiowa obudowa tylna z panelami wyłamywanymi, kompatybilna z QNV-8080R, QNV-6082R/6082R1, biała</v>
      </c>
      <c r="K668" s="43" t="s">
        <v>21</v>
      </c>
      <c r="L668" s="44">
        <v>33.0</v>
      </c>
      <c r="M668" s="8"/>
      <c r="N668" s="45" t="s">
        <v>22</v>
      </c>
      <c r="O668" s="97"/>
      <c r="P668" s="36"/>
      <c r="Q668" s="35"/>
      <c r="R668" s="68"/>
      <c r="S668" s="68"/>
      <c r="T668" s="68"/>
      <c r="U668" s="35"/>
      <c r="V668" s="35"/>
      <c r="W668" s="35"/>
      <c r="X668" s="35"/>
      <c r="Y668" s="35"/>
      <c r="Z668" s="35"/>
      <c r="AA668" s="35"/>
      <c r="AB668" s="35"/>
      <c r="AC668" s="60"/>
      <c r="AD668" s="85"/>
      <c r="AE668" s="85"/>
      <c r="AF668" s="85"/>
      <c r="AG668" s="85"/>
      <c r="AH668" s="85"/>
      <c r="AI668" s="85"/>
      <c r="AJ668" s="85"/>
      <c r="AK668" s="85"/>
      <c r="AL668" s="85"/>
      <c r="AM668" s="85"/>
      <c r="AN668" s="85"/>
      <c r="AO668" s="85"/>
      <c r="AP668" s="85"/>
    </row>
    <row r="669" ht="79.5" customHeight="1">
      <c r="A669" s="29"/>
      <c r="B669" s="38" t="s">
        <v>23</v>
      </c>
      <c r="C669" s="39" t="s">
        <v>1844</v>
      </c>
      <c r="D669" s="40" t="s">
        <v>1840</v>
      </c>
      <c r="E669" s="118"/>
      <c r="F669" s="40"/>
      <c r="G669" s="39"/>
      <c r="H669" s="41" t="s">
        <v>79</v>
      </c>
      <c r="I669" s="48" t="s">
        <v>1845</v>
      </c>
      <c r="J669" s="42" t="str">
        <f>IFERROR(__xludf.DUMMYFUNCTION("GOOGLETRANSLATE(I669,""en"",""pl"")"),"Puszka tylna kopułkowa z uchylnym mocowaniem, kompatybilna z QNV-6072R/6082R, QNV-7082R, QNV-8080R
LNV-6072R, biały RAL9003")</f>
        <v>Puszka tylna kopułkowa z uchylnym mocowaniem, kompatybilna z QNV-6072R/6082R, QNV-7082R, QNV-8080R
LNV-6072R, biały RAL9003</v>
      </c>
      <c r="K669" s="43" t="s">
        <v>21</v>
      </c>
      <c r="L669" s="44">
        <v>49.0</v>
      </c>
      <c r="M669" s="8"/>
      <c r="N669" s="45" t="s">
        <v>22</v>
      </c>
      <c r="O669" s="97"/>
      <c r="P669" s="36"/>
      <c r="Q669" s="35"/>
      <c r="R669" s="68"/>
      <c r="S669" s="68"/>
      <c r="T669" s="68"/>
      <c r="U669" s="35"/>
      <c r="V669" s="35"/>
      <c r="W669" s="35"/>
      <c r="X669" s="35"/>
      <c r="Y669" s="35"/>
      <c r="Z669" s="35"/>
      <c r="AA669" s="35"/>
      <c r="AB669" s="35"/>
      <c r="AC669" s="60"/>
      <c r="AD669" s="85"/>
      <c r="AE669" s="85"/>
      <c r="AF669" s="85"/>
      <c r="AG669" s="85"/>
      <c r="AH669" s="85"/>
      <c r="AI669" s="85"/>
      <c r="AJ669" s="85"/>
      <c r="AK669" s="85"/>
      <c r="AL669" s="85"/>
      <c r="AM669" s="85"/>
      <c r="AN669" s="85"/>
      <c r="AO669" s="85"/>
      <c r="AP669" s="85"/>
    </row>
    <row r="670" ht="79.5" customHeight="1">
      <c r="A670" s="29"/>
      <c r="B670" s="38" t="s">
        <v>23</v>
      </c>
      <c r="C670" s="39" t="s">
        <v>1846</v>
      </c>
      <c r="D670" s="40" t="s">
        <v>1847</v>
      </c>
      <c r="E670" s="118"/>
      <c r="F670" s="40"/>
      <c r="G670" s="39"/>
      <c r="H670" s="41" t="s">
        <v>79</v>
      </c>
      <c r="I670" s="48" t="s">
        <v>1848</v>
      </c>
      <c r="J670" s="42" t="str">
        <f>IFERROR(__xludf.DUMMYFUNCTION("GOOGLETRANSLATE(I670,""en"",""pl"")"),"Puszka tylna kopułowa z wycięciami, kompatybilna z QNV-6012R/6022R/6032R, QNV-6012R1/6022R1/6032R1, QNV-8010R/8020R/8030R, biała")</f>
        <v>Puszka tylna kopułowa z wycięciami, kompatybilna z QNV-6012R/6022R/6032R, QNV-6012R1/6022R1/6032R1, QNV-8010R/8020R/8030R, biała</v>
      </c>
      <c r="K670" s="43" t="s">
        <v>21</v>
      </c>
      <c r="L670" s="44">
        <v>46.0</v>
      </c>
      <c r="M670" s="8"/>
      <c r="N670" s="45" t="s">
        <v>22</v>
      </c>
      <c r="O670" s="97"/>
      <c r="P670" s="36"/>
      <c r="Q670" s="35"/>
      <c r="R670" s="68"/>
      <c r="S670" s="68"/>
      <c r="T670" s="68"/>
      <c r="U670" s="35"/>
      <c r="V670" s="35"/>
      <c r="W670" s="35"/>
      <c r="X670" s="35"/>
      <c r="Y670" s="35"/>
      <c r="Z670" s="35"/>
      <c r="AA670" s="35"/>
      <c r="AB670" s="35"/>
      <c r="AC670" s="60"/>
      <c r="AD670" s="85"/>
      <c r="AE670" s="85"/>
      <c r="AF670" s="85"/>
      <c r="AG670" s="85"/>
      <c r="AH670" s="85"/>
      <c r="AI670" s="85"/>
      <c r="AJ670" s="85"/>
      <c r="AK670" s="85"/>
      <c r="AL670" s="85"/>
      <c r="AM670" s="85"/>
      <c r="AN670" s="85"/>
      <c r="AO670" s="85"/>
      <c r="AP670" s="85"/>
    </row>
    <row r="671" ht="79.5" customHeight="1">
      <c r="A671" s="29"/>
      <c r="B671" s="38" t="s">
        <v>23</v>
      </c>
      <c r="C671" s="39" t="s">
        <v>1849</v>
      </c>
      <c r="D671" s="40" t="s">
        <v>1847</v>
      </c>
      <c r="E671" s="118"/>
      <c r="F671" s="40"/>
      <c r="G671" s="39"/>
      <c r="H671" s="41" t="s">
        <v>79</v>
      </c>
      <c r="I671" s="48" t="s">
        <v>1850</v>
      </c>
      <c r="J671" s="42" t="str">
        <f>IFERROR(__xludf.DUMMYFUNCTION("GOOGLETRANSLATE(I671,""en"",""pl"")"),"Tylna puszka do zewnętrznych kopuł wandaloodpornych, kompatybilna z PNV-9080R, XNV-6080/R, XNV-8080R, XNV-6120/R, XNV-6085, XNV-L6080/R, SNV-5084/R, SNV-6084/R, SNV-7084/R, SNV-8081R, SNV-8080, kość słoniowa")</f>
        <v>Tylna puszka do zewnętrznych kopuł wandaloodpornych, kompatybilna z PNV-9080R, XNV-6080/R, XNV-8080R, XNV-6120/R, XNV-6085, XNV-L6080/R, SNV-5084/R, SNV-6084/R, SNV-7084/R, SNV-8081R, SNV-8080, kość słoniowa</v>
      </c>
      <c r="K671" s="43" t="s">
        <v>21</v>
      </c>
      <c r="L671" s="44">
        <v>44.0</v>
      </c>
      <c r="M671" s="8"/>
      <c r="N671" s="45" t="s">
        <v>22</v>
      </c>
      <c r="O671" s="97"/>
      <c r="P671" s="36"/>
      <c r="Q671" s="35"/>
      <c r="R671" s="68"/>
      <c r="S671" s="68"/>
      <c r="T671" s="68"/>
      <c r="U671" s="35"/>
      <c r="V671" s="35"/>
      <c r="W671" s="35"/>
      <c r="X671" s="35"/>
      <c r="Y671" s="35"/>
      <c r="Z671" s="35"/>
      <c r="AA671" s="35"/>
      <c r="AB671" s="35"/>
      <c r="AC671" s="60"/>
      <c r="AD671" s="85"/>
      <c r="AE671" s="85"/>
      <c r="AF671" s="85"/>
      <c r="AG671" s="85"/>
      <c r="AH671" s="85"/>
      <c r="AI671" s="85"/>
      <c r="AJ671" s="85"/>
      <c r="AK671" s="85"/>
      <c r="AL671" s="85"/>
      <c r="AM671" s="85"/>
      <c r="AN671" s="85"/>
      <c r="AO671" s="85"/>
      <c r="AP671" s="85"/>
    </row>
    <row r="672" ht="79.5" customHeight="1">
      <c r="A672" s="29"/>
      <c r="B672" s="38" t="s">
        <v>23</v>
      </c>
      <c r="C672" s="39" t="s">
        <v>1851</v>
      </c>
      <c r="D672" s="40" t="s">
        <v>1847</v>
      </c>
      <c r="E672" s="118"/>
      <c r="F672" s="40"/>
      <c r="G672" s="39"/>
      <c r="H672" s="41" t="s">
        <v>79</v>
      </c>
      <c r="I672" s="48" t="s">
        <v>1852</v>
      </c>
      <c r="J672" s="42" t="str">
        <f>IFERROR(__xludf.DUMMYFUNCTION("GOOGLETRANSLATE(I672,""en"",""pl"")"),"Tylna puszka do zewnętrznych kopuł wandaloodpornych, kompatybilna z PNV-9080R, XNV-6080/R, XNV-8080R, XNV-6120/R, XNV-6085, XNV-L6080/R, SNV-5084/R, SNV-6084/R, SNV-7084/R, SNV-8081R, SNV-8080, biała")</f>
        <v>Tylna puszka do zewnętrznych kopuł wandaloodpornych, kompatybilna z PNV-9080R, XNV-6080/R, XNV-8080R, XNV-6120/R, XNV-6085, XNV-L6080/R, SNV-5084/R, SNV-6084/R, SNV-7084/R, SNV-8081R, SNV-8080, biała</v>
      </c>
      <c r="K672" s="43" t="s">
        <v>21</v>
      </c>
      <c r="L672" s="44">
        <v>37.0</v>
      </c>
      <c r="M672" s="8"/>
      <c r="N672" s="45" t="s">
        <v>22</v>
      </c>
      <c r="O672" s="97"/>
      <c r="P672" s="35"/>
      <c r="Q672" s="35"/>
      <c r="R672" s="68"/>
      <c r="S672" s="68"/>
      <c r="T672" s="68"/>
      <c r="U672" s="35"/>
      <c r="V672" s="35"/>
      <c r="W672" s="35"/>
      <c r="X672" s="35"/>
      <c r="Y672" s="35"/>
      <c r="Z672" s="35"/>
      <c r="AA672" s="35"/>
      <c r="AB672" s="35"/>
      <c r="AC672" s="101"/>
      <c r="AD672" s="98"/>
      <c r="AE672" s="98"/>
      <c r="AF672" s="98"/>
      <c r="AG672" s="98"/>
      <c r="AH672" s="98"/>
      <c r="AI672" s="98"/>
      <c r="AJ672" s="98"/>
      <c r="AK672" s="98"/>
      <c r="AL672" s="98"/>
      <c r="AM672" s="98"/>
      <c r="AN672" s="98"/>
      <c r="AO672" s="98"/>
      <c r="AP672" s="98"/>
    </row>
    <row r="673" ht="79.5" customHeight="1">
      <c r="A673" s="29"/>
      <c r="B673" s="38" t="s">
        <v>23</v>
      </c>
      <c r="C673" s="39" t="s">
        <v>1853</v>
      </c>
      <c r="D673" s="40" t="s">
        <v>1847</v>
      </c>
      <c r="E673" s="118"/>
      <c r="F673" s="40"/>
      <c r="G673" s="39"/>
      <c r="H673" s="41" t="s">
        <v>79</v>
      </c>
      <c r="I673" s="48" t="s">
        <v>1854</v>
      </c>
      <c r="J673" s="42" t="str">
        <f>IFERROR(__xludf.DUMMYFUNCTION("GOOGLETRANSLATE(I673,""en"",""pl"")"),"Puszka tylna do kopuł wandaloodpornych i typu rybie oko do wnętrz, kompatybilna z PND-A6081RV, PND-A9081RV, XND-6081REV, XND-6081RV, XND-6081V, XND-6081VZ, XND-8081REV, XND-8081RV, XND-8081VZ, XND-8082RV, XND-9082RV, XNF-9010RV, XNF-9010RVM, biały")</f>
        <v>Puszka tylna do kopuł wandaloodpornych i typu rybie oko do wnętrz, kompatybilna z PND-A6081RV, PND-A9081RV, XND-6081REV, XND-6081RV, XND-6081V, XND-6081VZ, XND-8081REV, XND-8081RV, XND-8081VZ, XND-8082RV, XND-9082RV, XNF-9010RV, XNF-9010RVM, biały</v>
      </c>
      <c r="K673" s="43" t="s">
        <v>21</v>
      </c>
      <c r="L673" s="44">
        <v>46.0</v>
      </c>
      <c r="M673" s="8"/>
      <c r="N673" s="45" t="s">
        <v>22</v>
      </c>
      <c r="O673" s="97"/>
      <c r="P673" s="36"/>
      <c r="Q673" s="35"/>
      <c r="R673" s="68"/>
      <c r="S673" s="68"/>
      <c r="T673" s="68"/>
      <c r="U673" s="35"/>
      <c r="V673" s="35"/>
      <c r="W673" s="35"/>
      <c r="X673" s="35"/>
      <c r="Y673" s="35"/>
      <c r="Z673" s="35"/>
      <c r="AA673" s="35"/>
      <c r="AB673" s="35"/>
      <c r="AC673" s="60"/>
      <c r="AD673" s="85"/>
      <c r="AE673" s="85"/>
      <c r="AF673" s="85"/>
      <c r="AG673" s="85"/>
      <c r="AH673" s="85"/>
      <c r="AI673" s="85"/>
      <c r="AJ673" s="85"/>
      <c r="AK673" s="85"/>
      <c r="AL673" s="85"/>
      <c r="AM673" s="85"/>
      <c r="AN673" s="85"/>
      <c r="AO673" s="85"/>
      <c r="AP673" s="85"/>
    </row>
    <row r="674" ht="79.5" customHeight="1">
      <c r="A674" s="29"/>
      <c r="B674" s="38" t="s">
        <v>23</v>
      </c>
      <c r="C674" s="39" t="s">
        <v>1855</v>
      </c>
      <c r="D674" s="40" t="s">
        <v>1847</v>
      </c>
      <c r="E674" s="118"/>
      <c r="F674" s="40"/>
      <c r="G674" s="39"/>
      <c r="H674" s="41" t="s">
        <v>79</v>
      </c>
      <c r="I674" s="48" t="s">
        <v>1856</v>
      </c>
      <c r="J674" s="42" t="str">
        <f>IFERROR(__xludf.DUMMYFUNCTION("GOOGLETRANSLATE(I674,""en"",""pl"")"),"Puszka tylna do kopuł wewnętrznych i kopuł wandaloodpornych,
Kompatybilna z XND-C9083RV/C8083RV/C7083RV/C6083RV, XND-C9083R/C8083R/C7083R/C6083R,
XND-9083RV/8093RV/8083RV/6083RV, XNV-9083R/8093R/8083R/6083R,
XND-9082RV/8082RV, XNV-9082R/8082R, biała")</f>
        <v>Puszka tylna do kopuł wewnętrznych i kopuł wandaloodpornych,
Kompatybilna z XND-C9083RV/C8083RV/C7083RV/C6083RV, XND-C9083R/C8083R/C7083R/C6083R,
XND-9083RV/8093RV/8083RV/6083RV, XNV-9083R/8093R/8083R/6083R,
XND-9082RV/8082RV, XNV-9082R/8082R, biała</v>
      </c>
      <c r="K674" s="43" t="s">
        <v>21</v>
      </c>
      <c r="L674" s="44">
        <v>49.0</v>
      </c>
      <c r="M674" s="8"/>
      <c r="N674" s="45" t="s">
        <v>22</v>
      </c>
      <c r="O674" s="97"/>
      <c r="P674" s="36"/>
      <c r="Q674" s="35"/>
      <c r="R674" s="68"/>
      <c r="S674" s="68"/>
      <c r="T674" s="68"/>
      <c r="U674" s="35"/>
      <c r="V674" s="35"/>
      <c r="W674" s="35"/>
      <c r="X674" s="35"/>
      <c r="Y674" s="35"/>
      <c r="Z674" s="35"/>
      <c r="AA674" s="35"/>
      <c r="AB674" s="35"/>
      <c r="AC674" s="60"/>
      <c r="AD674" s="85"/>
      <c r="AE674" s="85"/>
      <c r="AF674" s="85"/>
      <c r="AG674" s="85"/>
      <c r="AH674" s="85"/>
      <c r="AI674" s="85"/>
      <c r="AJ674" s="85"/>
      <c r="AK674" s="85"/>
      <c r="AL674" s="85"/>
      <c r="AM674" s="85"/>
      <c r="AN674" s="85"/>
      <c r="AO674" s="85"/>
      <c r="AP674" s="85"/>
    </row>
    <row r="675" ht="79.5" customHeight="1">
      <c r="A675" s="29"/>
      <c r="B675" s="38" t="s">
        <v>23</v>
      </c>
      <c r="C675" s="39" t="s">
        <v>1857</v>
      </c>
      <c r="D675" s="40" t="s">
        <v>1858</v>
      </c>
      <c r="E675" s="118"/>
      <c r="F675" s="40"/>
      <c r="G675" s="39"/>
      <c r="H675" s="41" t="s">
        <v>79</v>
      </c>
      <c r="I675" s="48" t="s">
        <v>1859</v>
      </c>
      <c r="J675" s="42" t="str">
        <f>IFERROR(__xludf.DUMMYFUNCTION("GOOGLETRANSLATE(I675,""en"",""pl"")"),"Wodoodporna obudowa tylna do białych kamer Vandal X-Core i X-Plus
Kompatybilne modele: XNV-6081R / XNV-8081R / XNV-6083R / XNV-8083R / XNV-8093R / XNV-9083R XNV-C6083R / XNV-C7083R / XNV-C8083R / XNV-C9083R")</f>
        <v>Wodoodporna obudowa tylna do białych kamer Vandal X-Core i X-Plus
Kompatybilne modele: XNV-6081R / XNV-8081R / XNV-6083R / XNV-8083R / XNV-8093R / XNV-9083R XNV-C6083R / XNV-C7083R / XNV-C8083R / XNV-C9083R</v>
      </c>
      <c r="K675" s="43" t="s">
        <v>21</v>
      </c>
      <c r="L675" s="44">
        <v>120.0</v>
      </c>
      <c r="M675" s="8"/>
      <c r="N675" s="45" t="s">
        <v>22</v>
      </c>
      <c r="O675" s="97"/>
      <c r="P675" s="36"/>
      <c r="Q675" s="35"/>
      <c r="R675" s="68"/>
      <c r="S675" s="68"/>
      <c r="T675" s="68"/>
      <c r="U675" s="35"/>
      <c r="V675" s="35"/>
      <c r="W675" s="35"/>
      <c r="X675" s="35"/>
      <c r="Y675" s="35"/>
      <c r="Z675" s="35"/>
      <c r="AA675" s="35"/>
      <c r="AB675" s="35"/>
      <c r="AC675" s="60"/>
      <c r="AD675" s="85"/>
      <c r="AE675" s="85"/>
      <c r="AF675" s="85"/>
      <c r="AG675" s="85"/>
      <c r="AH675" s="85"/>
      <c r="AI675" s="85"/>
      <c r="AJ675" s="85"/>
      <c r="AK675" s="85"/>
      <c r="AL675" s="85"/>
      <c r="AM675" s="85"/>
      <c r="AN675" s="85"/>
      <c r="AO675" s="85"/>
      <c r="AP675" s="85"/>
    </row>
    <row r="676" ht="79.5" customHeight="1">
      <c r="A676" s="29"/>
      <c r="B676" s="38" t="s">
        <v>23</v>
      </c>
      <c r="C676" s="39" t="s">
        <v>1860</v>
      </c>
      <c r="D676" s="40" t="s">
        <v>1830</v>
      </c>
      <c r="E676" s="118"/>
      <c r="F676" s="40"/>
      <c r="G676" s="39"/>
      <c r="H676" s="41" t="s">
        <v>79</v>
      </c>
      <c r="I676" s="48" t="s">
        <v>1861</v>
      </c>
      <c r="J676" s="42" t="str">
        <f>IFERROR(__xludf.DUMMYFUNCTION("GOOGLETRANSLATE(I676,""en"",""pl"")"),"Tylna obudowa do kamer typu bullet, kompatybilna z XNO-L6080R")</f>
        <v>Tylna obudowa do kamer typu bullet, kompatybilna z XNO-L6080R</v>
      </c>
      <c r="K676" s="43" t="s">
        <v>21</v>
      </c>
      <c r="L676" s="44">
        <v>49.0</v>
      </c>
      <c r="M676" s="8"/>
      <c r="N676" s="45" t="s">
        <v>22</v>
      </c>
      <c r="O676" s="97"/>
      <c r="P676" s="35"/>
      <c r="Q676" s="35"/>
      <c r="R676" s="68"/>
      <c r="S676" s="68"/>
      <c r="T676" s="68"/>
      <c r="U676" s="35"/>
      <c r="V676" s="35"/>
      <c r="W676" s="35"/>
      <c r="X676" s="35"/>
      <c r="Y676" s="35"/>
      <c r="Z676" s="35"/>
      <c r="AA676" s="35"/>
      <c r="AB676" s="35"/>
      <c r="AC676" s="101"/>
      <c r="AD676" s="98"/>
      <c r="AE676" s="98"/>
      <c r="AF676" s="98"/>
      <c r="AG676" s="98"/>
      <c r="AH676" s="98"/>
      <c r="AI676" s="98"/>
      <c r="AJ676" s="98"/>
      <c r="AK676" s="98"/>
      <c r="AL676" s="98"/>
      <c r="AM676" s="98"/>
      <c r="AN676" s="98"/>
      <c r="AO676" s="98"/>
      <c r="AP676" s="98"/>
    </row>
    <row r="677" ht="79.5" customHeight="1">
      <c r="A677" s="29"/>
      <c r="B677" s="38" t="s">
        <v>23</v>
      </c>
      <c r="C677" s="39" t="s">
        <v>1862</v>
      </c>
      <c r="D677" s="40" t="s">
        <v>1863</v>
      </c>
      <c r="E677" s="118"/>
      <c r="F677" s="40"/>
      <c r="G677" s="39"/>
      <c r="H677" s="41" t="s">
        <v>79</v>
      </c>
      <c r="I677" s="48" t="s">
        <v>1864</v>
      </c>
      <c r="J677" s="42" t="str">
        <f>IFERROR(__xludf.DUMMYFUNCTION("GOOGLETRANSLATE(I677,""en"",""pl"")"),"Przewód przedłużający do obiektywu zdalnego sterowania, 15 m (49,2 stopy), kompatybilny z: PNM-9000QB, SLA-T4680A, SLA-T4680VA, SLA-T2480A, SLA-T2480VA, SLA-T1080FA, SLA-T2880BA, SLA-T4680DA, SLA-T4680DSA")</f>
        <v>Przewód przedłużający do obiektywu zdalnego sterowania, 15 m (49,2 stopy), kompatybilny z: PNM-9000QB, SLA-T4680A, SLA-T4680VA, SLA-T2480A, SLA-T2480VA, SLA-T1080FA, SLA-T2880BA, SLA-T4680DA, SLA-T4680DSA</v>
      </c>
      <c r="K677" s="43" t="s">
        <v>21</v>
      </c>
      <c r="L677" s="44">
        <v>91.0</v>
      </c>
      <c r="M677" s="8"/>
      <c r="N677" s="45" t="s">
        <v>22</v>
      </c>
      <c r="O677" s="97"/>
      <c r="P677" s="35"/>
      <c r="Q677" s="35"/>
      <c r="R677" s="68"/>
      <c r="S677" s="68"/>
      <c r="T677" s="68"/>
      <c r="U677" s="35"/>
      <c r="V677" s="35"/>
      <c r="W677" s="35"/>
      <c r="X677" s="35"/>
      <c r="Y677" s="35"/>
      <c r="Z677" s="35"/>
      <c r="AA677" s="35"/>
      <c r="AB677" s="35"/>
      <c r="AC677" s="101"/>
      <c r="AD677" s="98"/>
      <c r="AE677" s="98"/>
      <c r="AF677" s="98"/>
      <c r="AG677" s="98"/>
      <c r="AH677" s="98"/>
      <c r="AI677" s="98"/>
      <c r="AJ677" s="98"/>
      <c r="AK677" s="98"/>
      <c r="AL677" s="98"/>
      <c r="AM677" s="98"/>
      <c r="AN677" s="98"/>
      <c r="AO677" s="98"/>
      <c r="AP677" s="98"/>
    </row>
    <row r="678" ht="79.5" customHeight="1">
      <c r="A678" s="29"/>
      <c r="B678" s="38" t="s">
        <v>23</v>
      </c>
      <c r="C678" s="39" t="s">
        <v>1865</v>
      </c>
      <c r="D678" s="40" t="s">
        <v>1866</v>
      </c>
      <c r="E678" s="118"/>
      <c r="F678" s="40"/>
      <c r="G678" s="39"/>
      <c r="H678" s="41" t="s">
        <v>79</v>
      </c>
      <c r="I678" s="48" t="s">
        <v>1867</v>
      </c>
      <c r="J678" s="42" t="str">
        <f>IFERROR(__xludf.DUMMYFUNCTION("GOOGLETRANSLATE(I678,""en"",""pl"")"),"Kabel konwertujący typu RJ45 (wtyczka do pigtaila), kompatybilny z QNV-6012R(1)/6022R(1)/6072R(1)/6082R(1), QNV-7012R/7022R/7032R/7082R, QNV-8010R/20R/80R, QNV-C6083R/C8083R/C9083R Opakowanie 5 szt.")</f>
        <v>Kabel konwertujący typu RJ45 (wtyczka do pigtaila), kompatybilny z QNV-6012R(1)/6022R(1)/6072R(1)/6082R(1), QNV-7012R/7022R/7032R/7082R, QNV-8010R/20R/80R, QNV-C6083R/C8083R/C9083R Opakowanie 5 szt.</v>
      </c>
      <c r="K678" s="43" t="s">
        <v>21</v>
      </c>
      <c r="L678" s="44">
        <v>67.0</v>
      </c>
      <c r="M678" s="8"/>
      <c r="N678" s="45" t="s">
        <v>22</v>
      </c>
      <c r="O678" s="97"/>
      <c r="P678" s="36"/>
      <c r="Q678" s="35"/>
      <c r="R678" s="68"/>
      <c r="S678" s="68"/>
      <c r="T678" s="68"/>
      <c r="U678" s="35"/>
      <c r="V678" s="35"/>
      <c r="W678" s="35"/>
      <c r="X678" s="35"/>
      <c r="Y678" s="35"/>
      <c r="Z678" s="35"/>
      <c r="AA678" s="35"/>
      <c r="AB678" s="35"/>
      <c r="AC678" s="60"/>
      <c r="AD678" s="85"/>
      <c r="AE678" s="85"/>
      <c r="AF678" s="85"/>
      <c r="AG678" s="85"/>
      <c r="AH678" s="85"/>
      <c r="AI678" s="85"/>
      <c r="AJ678" s="85"/>
      <c r="AK678" s="85"/>
      <c r="AL678" s="85"/>
      <c r="AM678" s="85"/>
      <c r="AN678" s="85"/>
      <c r="AO678" s="85"/>
      <c r="AP678" s="85"/>
    </row>
    <row r="679" ht="79.5" customHeight="1">
      <c r="A679" s="29"/>
      <c r="B679" s="38" t="s">
        <v>23</v>
      </c>
      <c r="C679" s="39" t="s">
        <v>1868</v>
      </c>
      <c r="D679" s="40" t="s">
        <v>1866</v>
      </c>
      <c r="E679" s="118"/>
      <c r="F679" s="40"/>
      <c r="G679" s="39"/>
      <c r="H679" s="41" t="s">
        <v>79</v>
      </c>
      <c r="I679" s="48" t="s">
        <v>1869</v>
      </c>
      <c r="J679" s="42" t="str">
        <f>IFERROR(__xludf.DUMMYFUNCTION("GOOGLETRANSLATE(I679,""en"",""pl"")"),"Kabel konwertujący typu RJ45 (wtyczka do pigtaila), kompatybilny z ANV-L6012R/L6082R, ANV-L7012R/L7082R Opakowanie 5 szt.")</f>
        <v>Kabel konwertujący typu RJ45 (wtyczka do pigtaila), kompatybilny z ANV-L6012R/L6082R, ANV-L7012R/L7082R Opakowanie 5 szt.</v>
      </c>
      <c r="K679" s="43" t="s">
        <v>21</v>
      </c>
      <c r="L679" s="44">
        <v>67.0</v>
      </c>
      <c r="M679" s="8"/>
      <c r="N679" s="45" t="s">
        <v>22</v>
      </c>
      <c r="O679" s="97"/>
      <c r="P679" s="36"/>
      <c r="Q679" s="35"/>
      <c r="R679" s="68"/>
      <c r="S679" s="68"/>
      <c r="T679" s="68"/>
      <c r="U679" s="35"/>
      <c r="V679" s="35"/>
      <c r="W679" s="35"/>
      <c r="X679" s="35"/>
      <c r="Y679" s="35"/>
      <c r="Z679" s="35"/>
      <c r="AA679" s="35"/>
      <c r="AB679" s="35"/>
      <c r="AC679" s="60"/>
      <c r="AD679" s="85"/>
      <c r="AE679" s="85"/>
      <c r="AF679" s="85"/>
      <c r="AG679" s="85"/>
      <c r="AH679" s="85"/>
      <c r="AI679" s="85"/>
      <c r="AJ679" s="85"/>
      <c r="AK679" s="85"/>
      <c r="AL679" s="85"/>
      <c r="AM679" s="85"/>
      <c r="AN679" s="85"/>
      <c r="AO679" s="85"/>
      <c r="AP679" s="85"/>
    </row>
    <row r="680" ht="79.5" customHeight="1">
      <c r="A680" s="29"/>
      <c r="B680" s="38" t="s">
        <v>23</v>
      </c>
      <c r="C680" s="39" t="s">
        <v>1870</v>
      </c>
      <c r="D680" s="40" t="s">
        <v>1871</v>
      </c>
      <c r="E680" s="118"/>
      <c r="F680" s="40"/>
      <c r="G680" s="39"/>
      <c r="H680" s="41" t="s">
        <v>79</v>
      </c>
      <c r="I680" s="48" t="s">
        <v>1872</v>
      </c>
      <c r="J680" s="42" t="str">
        <f>IFERROR(__xludf.DUMMYFUNCTION("GOOGLETRANSLATE(I680,""en"",""pl"")"),"Kabel audio i alarmowy kompatybilny z QND-C8013R/C8023R Opakowanie 3 szt.")</f>
        <v>Kabel audio i alarmowy kompatybilny z QND-C8013R/C8023R Opakowanie 3 szt.</v>
      </c>
      <c r="K680" s="43" t="s">
        <v>21</v>
      </c>
      <c r="L680" s="44">
        <v>50.0</v>
      </c>
      <c r="M680" s="8"/>
      <c r="N680" s="45" t="s">
        <v>22</v>
      </c>
      <c r="O680" s="97"/>
      <c r="P680" s="36"/>
      <c r="Q680" s="35"/>
      <c r="R680" s="68"/>
      <c r="S680" s="68"/>
      <c r="T680" s="68"/>
      <c r="U680" s="35"/>
      <c r="V680" s="35"/>
      <c r="W680" s="35"/>
      <c r="X680" s="35"/>
      <c r="Y680" s="35"/>
      <c r="Z680" s="35"/>
      <c r="AA680" s="35"/>
      <c r="AB680" s="35"/>
      <c r="AC680" s="60"/>
      <c r="AD680" s="85"/>
      <c r="AE680" s="85"/>
      <c r="AF680" s="85"/>
      <c r="AG680" s="85"/>
      <c r="AH680" s="85"/>
      <c r="AI680" s="85"/>
      <c r="AJ680" s="85"/>
      <c r="AK680" s="85"/>
      <c r="AL680" s="85"/>
      <c r="AM680" s="85"/>
      <c r="AN680" s="85"/>
      <c r="AO680" s="85"/>
      <c r="AP680" s="85"/>
    </row>
    <row r="681" ht="79.5" customHeight="1">
      <c r="A681" s="29"/>
      <c r="B681" s="38" t="s">
        <v>23</v>
      </c>
      <c r="C681" s="39" t="s">
        <v>1873</v>
      </c>
      <c r="D681" s="40" t="s">
        <v>1871</v>
      </c>
      <c r="E681" s="118"/>
      <c r="F681" s="40"/>
      <c r="G681" s="39"/>
      <c r="H681" s="41" t="s">
        <v>79</v>
      </c>
      <c r="I681" s="48" t="s">
        <v>1874</v>
      </c>
      <c r="J681" s="42" t="str">
        <f>IFERROR(__xludf.DUMMYFUNCTION("GOOGLETRANSLATE(I681,""en"",""pl"")"),"Kabel audio i alarmowy do TNV-C7013RC, QNV-C8083R/9083R, XNV-C6083R/C7083R/C8083R/C9083R, XND-C6083RV/C7083RV/C8083RV/C9083RV, opakowanie 3 szt.")</f>
        <v>Kabel audio i alarmowy do TNV-C7013RC, QNV-C8083R/9083R, XNV-C6083R/C7083R/C8083R/C9083R, XND-C6083RV/C7083RV/C8083RV/C9083RV, opakowanie 3 szt.</v>
      </c>
      <c r="K681" s="43" t="s">
        <v>21</v>
      </c>
      <c r="L681" s="44">
        <v>45.0</v>
      </c>
      <c r="M681" s="8"/>
      <c r="N681" s="45" t="s">
        <v>22</v>
      </c>
      <c r="O681" s="97"/>
      <c r="P681" s="36"/>
      <c r="Q681" s="35"/>
      <c r="R681" s="68"/>
      <c r="S681" s="68"/>
      <c r="T681" s="68"/>
      <c r="U681" s="35"/>
      <c r="V681" s="35"/>
      <c r="W681" s="35"/>
      <c r="X681" s="35"/>
      <c r="Y681" s="35"/>
      <c r="Z681" s="35"/>
      <c r="AA681" s="35"/>
      <c r="AB681" s="35"/>
      <c r="AC681" s="60"/>
      <c r="AD681" s="85"/>
      <c r="AE681" s="85"/>
      <c r="AF681" s="85"/>
      <c r="AG681" s="85"/>
      <c r="AH681" s="85"/>
      <c r="AI681" s="85"/>
      <c r="AJ681" s="85"/>
      <c r="AK681" s="85"/>
      <c r="AL681" s="85"/>
      <c r="AM681" s="85"/>
      <c r="AN681" s="85"/>
      <c r="AO681" s="85"/>
      <c r="AP681" s="85"/>
    </row>
    <row r="682" ht="79.5" customHeight="1">
      <c r="A682" s="29"/>
      <c r="B682" s="38" t="s">
        <v>23</v>
      </c>
      <c r="C682" s="39" t="s">
        <v>1875</v>
      </c>
      <c r="D682" s="40" t="s">
        <v>1876</v>
      </c>
      <c r="E682" s="118"/>
      <c r="F682" s="40"/>
      <c r="G682" s="39"/>
      <c r="H682" s="41" t="s">
        <v>79</v>
      </c>
      <c r="I682" s="48" t="s">
        <v>1877</v>
      </c>
      <c r="J682" s="42" t="str">
        <f>IFERROR(__xludf.DUMMYFUNCTION("GOOGLETRANSLATE(I682,""en"",""pl"")"),"Zestaw 3 kabli HDMI zgodnych z QNV-C6083R")</f>
        <v>Zestaw 3 kabli HDMI zgodnych z QNV-C6083R</v>
      </c>
      <c r="K682" s="43" t="s">
        <v>21</v>
      </c>
      <c r="L682" s="44">
        <v>100.0</v>
      </c>
      <c r="M682" s="8"/>
      <c r="N682" s="45" t="s">
        <v>22</v>
      </c>
      <c r="O682" s="97"/>
      <c r="P682" s="36"/>
      <c r="Q682" s="35"/>
      <c r="R682" s="68"/>
      <c r="S682" s="68"/>
      <c r="T682" s="68"/>
      <c r="U682" s="35"/>
      <c r="V682" s="35"/>
      <c r="W682" s="35"/>
      <c r="X682" s="35"/>
      <c r="Y682" s="35"/>
      <c r="Z682" s="35"/>
      <c r="AA682" s="35"/>
      <c r="AB682" s="35"/>
      <c r="AC682" s="60"/>
      <c r="AD682" s="85"/>
      <c r="AE682" s="85"/>
      <c r="AF682" s="85"/>
      <c r="AG682" s="85"/>
      <c r="AH682" s="85"/>
      <c r="AI682" s="85"/>
      <c r="AJ682" s="85"/>
      <c r="AK682" s="85"/>
      <c r="AL682" s="85"/>
      <c r="AM682" s="85"/>
      <c r="AN682" s="85"/>
      <c r="AO682" s="85"/>
      <c r="AP682" s="85"/>
    </row>
    <row r="683" ht="79.5" customHeight="1">
      <c r="A683" s="29"/>
      <c r="B683" s="38" t="s">
        <v>23</v>
      </c>
      <c r="C683" s="39" t="s">
        <v>1878</v>
      </c>
      <c r="D683" s="40" t="s">
        <v>1879</v>
      </c>
      <c r="E683" s="118"/>
      <c r="F683" s="40"/>
      <c r="G683" s="39"/>
      <c r="H683" s="41" t="s">
        <v>79</v>
      </c>
      <c r="I683" s="48" t="s">
        <v>1880</v>
      </c>
      <c r="J683" s="42" t="str">
        <f>IFERROR(__xludf.DUMMYFUNCTION("GOOGLETRANSLATE(I683,""en"",""pl"")"),"Obudowa kamery typu box TNB-9000, korpus/osłona przeciwsłoneczna: aluminium, przednia i tylna zaślepka: ABS. W zestawie ramię do montażu ściennego.
Temperatura pracy: -50°C ~ +60°C (-58°F ~ +140°F) / 10-100% wilgotności względnej (z kondensacją), waga: 6,"&amp;"2 kg (13,67 funta), kolor: biały, IP66. Napięcie wejściowe 110 V AC, wentylator i grzałka sterowane termostatem – certyfikat UL 62368-1.")</f>
        <v>Obudowa kamery typu box TNB-9000, korpus/osłona przeciwsłoneczna: aluminium, przednia i tylna zaślepka: ABS. W zestawie ramię do montażu ściennego.
Temperatura pracy: -50°C ~ +60°C (-58°F ~ +140°F) / 10-100% wilgotności względnej (z kondensacją), waga: 6,2 kg (13,67 funta), kolor: biały, IP66. Napięcie wejściowe 110 V AC, wentylator i grzałka sterowane termostatem – certyfikat UL 62368-1.</v>
      </c>
      <c r="K683" s="43" t="s">
        <v>21</v>
      </c>
      <c r="L683" s="44">
        <v>2750.0</v>
      </c>
      <c r="M683" s="8"/>
      <c r="N683" s="45" t="s">
        <v>22</v>
      </c>
      <c r="O683" s="97"/>
      <c r="P683" s="35"/>
      <c r="Q683" s="35"/>
      <c r="R683" s="68"/>
      <c r="S683" s="68"/>
      <c r="T683" s="68"/>
      <c r="U683" s="35"/>
      <c r="V683" s="35"/>
      <c r="W683" s="35"/>
      <c r="X683" s="35"/>
      <c r="Y683" s="35"/>
      <c r="Z683" s="35"/>
      <c r="AA683" s="35"/>
      <c r="AB683" s="35"/>
      <c r="AC683" s="101"/>
      <c r="AD683" s="98"/>
      <c r="AE683" s="98"/>
      <c r="AF683" s="98"/>
      <c r="AG683" s="98"/>
      <c r="AH683" s="98"/>
      <c r="AI683" s="98"/>
      <c r="AJ683" s="98"/>
      <c r="AK683" s="98"/>
      <c r="AL683" s="98"/>
      <c r="AM683" s="98"/>
      <c r="AN683" s="98"/>
      <c r="AO683" s="98"/>
      <c r="AP683" s="98"/>
    </row>
    <row r="684" ht="79.5" customHeight="1">
      <c r="A684" s="29"/>
      <c r="B684" s="38" t="s">
        <v>23</v>
      </c>
      <c r="C684" s="39" t="s">
        <v>1881</v>
      </c>
      <c r="D684" s="40" t="s">
        <v>1879</v>
      </c>
      <c r="E684" s="118"/>
      <c r="F684" s="40"/>
      <c r="G684" s="39"/>
      <c r="H684" s="41" t="s">
        <v>79</v>
      </c>
      <c r="I684" s="48" t="s">
        <v>1882</v>
      </c>
      <c r="J684" s="42" t="str">
        <f>IFERROR(__xludf.DUMMYFUNCTION("GOOGLETRANSLATE(I684,""en"",""pl"")"),"Wymiary/waga: 700 mm (27,56 cala) / 40 g (0,09 funta)")</f>
        <v>Wymiary/waga: 700 mm (27,56 cala) / 40 g (0,09 funta)</v>
      </c>
      <c r="K684" s="43" t="s">
        <v>21</v>
      </c>
      <c r="L684" s="44">
        <v>86.0</v>
      </c>
      <c r="M684" s="8"/>
      <c r="N684" s="45" t="s">
        <v>22</v>
      </c>
      <c r="O684" s="97"/>
      <c r="P684" s="35"/>
      <c r="Q684" s="35"/>
      <c r="R684" s="68"/>
      <c r="S684" s="68"/>
      <c r="T684" s="68"/>
      <c r="U684" s="35"/>
      <c r="V684" s="35"/>
      <c r="W684" s="35"/>
      <c r="X684" s="35"/>
      <c r="Y684" s="35"/>
      <c r="Z684" s="35"/>
      <c r="AA684" s="35"/>
      <c r="AB684" s="35"/>
      <c r="AC684" s="101"/>
      <c r="AD684" s="98"/>
      <c r="AE684" s="98"/>
      <c r="AF684" s="98"/>
      <c r="AG684" s="98"/>
      <c r="AH684" s="98"/>
      <c r="AI684" s="98"/>
      <c r="AJ684" s="98"/>
      <c r="AK684" s="98"/>
      <c r="AL684" s="98"/>
      <c r="AM684" s="98"/>
      <c r="AN684" s="98"/>
      <c r="AO684" s="98"/>
      <c r="AP684" s="98"/>
    </row>
    <row r="685" ht="79.5" customHeight="1">
      <c r="A685" s="29"/>
      <c r="B685" s="38" t="s">
        <v>23</v>
      </c>
      <c r="C685" s="39" t="s">
        <v>1883</v>
      </c>
      <c r="D685" s="40" t="s">
        <v>1879</v>
      </c>
      <c r="E685" s="118"/>
      <c r="F685" s="40"/>
      <c r="G685" s="39"/>
      <c r="H685" s="41" t="s">
        <v>79</v>
      </c>
      <c r="I685" s="48" t="s">
        <v>1884</v>
      </c>
      <c r="J685" s="42" t="str">
        <f>IFERROR(__xludf.DUMMYFUNCTION("GOOGLETRANSLATE(I685,""en"",""pl"")"),"Obudowa kamery zewnętrznej ze stałym mocowaniem, kompatybilna ze wszystkimi kamerami pudełkowymi, wbudowana grzałka i wentylator, IP66, 24 V AC, kolor kości słoniowej")</f>
        <v>Obudowa kamery zewnętrznej ze stałym mocowaniem, kompatybilna ze wszystkimi kamerami pudełkowymi, wbudowana grzałka i wentylator, IP66, 24 V AC, kolor kości słoniowej</v>
      </c>
      <c r="K685" s="43" t="s">
        <v>21</v>
      </c>
      <c r="L685" s="44">
        <v>129.0</v>
      </c>
      <c r="M685" s="8"/>
      <c r="N685" s="45" t="s">
        <v>22</v>
      </c>
      <c r="O685" s="97"/>
      <c r="P685" s="36"/>
      <c r="Q685" s="35"/>
      <c r="R685" s="68"/>
      <c r="S685" s="68"/>
      <c r="T685" s="68"/>
      <c r="U685" s="35"/>
      <c r="V685" s="35"/>
      <c r="W685" s="35"/>
      <c r="X685" s="35"/>
      <c r="Y685" s="35"/>
      <c r="Z685" s="35"/>
      <c r="AA685" s="35"/>
      <c r="AB685" s="35"/>
      <c r="AC685" s="60"/>
      <c r="AD685" s="85"/>
      <c r="AE685" s="85"/>
      <c r="AF685" s="85"/>
      <c r="AG685" s="85"/>
      <c r="AH685" s="85"/>
      <c r="AI685" s="85"/>
      <c r="AJ685" s="85"/>
      <c r="AK685" s="85"/>
      <c r="AL685" s="85"/>
      <c r="AM685" s="85"/>
      <c r="AN685" s="85"/>
      <c r="AO685" s="85"/>
      <c r="AP685" s="85"/>
    </row>
    <row r="686" ht="79.5" customHeight="1">
      <c r="A686" s="29"/>
      <c r="B686" s="38" t="s">
        <v>23</v>
      </c>
      <c r="C686" s="39" t="s">
        <v>1885</v>
      </c>
      <c r="D686" s="40" t="s">
        <v>1879</v>
      </c>
      <c r="E686" s="118"/>
      <c r="F686" s="40"/>
      <c r="G686" s="39"/>
      <c r="H686" s="41" t="s">
        <v>79</v>
      </c>
      <c r="I686" s="48" t="s">
        <v>1886</v>
      </c>
      <c r="J686" s="42" t="str">
        <f>IFERROR(__xludf.DUMMYFUNCTION("GOOGLETRANSLATE(I686,""en"",""pl"")"),"Ekstremalnie odporna na warunki atmosferyczne aluminiowa obudowa kamery stacjonarnej z uchwytem montażowym, kompatybilna ze wszystkimi kamerami typu box, wbudowana grzałka i wentylator, IP66, 24 V AC, kolor kości słoniowej")</f>
        <v>Ekstremalnie odporna na warunki atmosferyczne aluminiowa obudowa kamery stacjonarnej z uchwytem montażowym, kompatybilna ze wszystkimi kamerami typu box, wbudowana grzałka i wentylator, IP66, 24 V AC, kolor kości słoniowej</v>
      </c>
      <c r="K686" s="43" t="s">
        <v>21</v>
      </c>
      <c r="L686" s="44">
        <v>211.0</v>
      </c>
      <c r="M686" s="8"/>
      <c r="N686" s="45" t="s">
        <v>22</v>
      </c>
      <c r="O686" s="97"/>
      <c r="P686" s="35"/>
      <c r="Q686" s="35"/>
      <c r="R686" s="68"/>
      <c r="S686" s="68"/>
      <c r="T686" s="68"/>
      <c r="U686" s="35"/>
      <c r="V686" s="35"/>
      <c r="W686" s="35"/>
      <c r="X686" s="35"/>
      <c r="Y686" s="35"/>
      <c r="Z686" s="35"/>
      <c r="AA686" s="35"/>
      <c r="AB686" s="35"/>
      <c r="AC686" s="101"/>
      <c r="AD686" s="98"/>
      <c r="AE686" s="98"/>
      <c r="AF686" s="98"/>
      <c r="AG686" s="98"/>
      <c r="AH686" s="98"/>
      <c r="AI686" s="98"/>
      <c r="AJ686" s="98"/>
      <c r="AK686" s="98"/>
      <c r="AL686" s="98"/>
      <c r="AM686" s="98"/>
      <c r="AN686" s="98"/>
      <c r="AO686" s="98"/>
      <c r="AP686" s="98"/>
    </row>
    <row r="687" ht="79.5" customHeight="1">
      <c r="A687" s="29"/>
      <c r="B687" s="38" t="s">
        <v>23</v>
      </c>
      <c r="C687" s="39" t="s">
        <v>1887</v>
      </c>
      <c r="D687" s="40" t="s">
        <v>1879</v>
      </c>
      <c r="E687" s="118"/>
      <c r="F687" s="40"/>
      <c r="G687" s="39"/>
      <c r="H687" s="41" t="s">
        <v>79</v>
      </c>
      <c r="I687" s="48" t="s">
        <v>1888</v>
      </c>
      <c r="J687" s="42" t="str">
        <f>IFERROR(__xludf.DUMMYFUNCTION("GOOGLETRANSLATE(I687,""en"",""pl"")"),"Ekstremalnie odporna na warunki atmosferyczne aluminiowa obudowa kamery stacjonarnej z uchwytem montażowym, kompatybilna ze wszystkimi kamerami typu box, wbudowany odmrażacz/ogrzewacz i wentylator, IP66, 24 V AC, kolor kości słoniowej")</f>
        <v>Ekstremalnie odporna na warunki atmosferyczne aluminiowa obudowa kamery stacjonarnej z uchwytem montażowym, kompatybilna ze wszystkimi kamerami typu box, wbudowany odmrażacz/ogrzewacz i wentylator, IP66, 24 V AC, kolor kości słoniowej</v>
      </c>
      <c r="K687" s="43" t="s">
        <v>21</v>
      </c>
      <c r="L687" s="44">
        <v>322.0</v>
      </c>
      <c r="M687" s="8"/>
      <c r="N687" s="45" t="s">
        <v>22</v>
      </c>
      <c r="O687" s="97"/>
      <c r="P687" s="36"/>
      <c r="Q687" s="35"/>
      <c r="R687" s="68"/>
      <c r="S687" s="68"/>
      <c r="T687" s="68"/>
      <c r="U687" s="35"/>
      <c r="V687" s="35"/>
      <c r="W687" s="35"/>
      <c r="X687" s="35"/>
      <c r="Y687" s="35"/>
      <c r="Z687" s="35"/>
      <c r="AA687" s="35"/>
      <c r="AB687" s="35"/>
      <c r="AC687" s="60"/>
      <c r="AD687" s="85"/>
      <c r="AE687" s="85"/>
      <c r="AF687" s="85"/>
      <c r="AG687" s="85"/>
      <c r="AH687" s="85"/>
      <c r="AI687" s="85"/>
      <c r="AJ687" s="85"/>
      <c r="AK687" s="85"/>
      <c r="AL687" s="85"/>
      <c r="AM687" s="85"/>
      <c r="AN687" s="85"/>
      <c r="AO687" s="85"/>
      <c r="AP687" s="85"/>
    </row>
    <row r="688" ht="79.5" customHeight="1">
      <c r="A688" s="29"/>
      <c r="B688" s="38" t="s">
        <v>23</v>
      </c>
      <c r="C688" s="39" t="s">
        <v>1889</v>
      </c>
      <c r="D688" s="40" t="s">
        <v>1879</v>
      </c>
      <c r="E688" s="118"/>
      <c r="F688" s="40"/>
      <c r="G688" s="39"/>
      <c r="H688" s="41" t="s">
        <v>79</v>
      </c>
      <c r="I688" s="48" t="s">
        <v>1890</v>
      </c>
      <c r="J688" s="42" t="str">
        <f>IFERROR(__xludf.DUMMYFUNCTION("GOOGLETRANSLATE(I688,""en"",""pl"")"),"Ekstremalnie odporna na warunki atmosferyczne aluminiowa obudowa kamery stacjonarnej z uchwytem montażowym, kompatybilna ze wszystkimi kamerami pudełkowymi, wbudowany odmrażacz/ogrzewacz i wentylator, IP66, 230 V AC, kolor kości słoniowej")</f>
        <v>Ekstremalnie odporna na warunki atmosferyczne aluminiowa obudowa kamery stacjonarnej z uchwytem montażowym, kompatybilna ze wszystkimi kamerami pudełkowymi, wbudowany odmrażacz/ogrzewacz i wentylator, IP66, 230 V AC, kolor kości słoniowej</v>
      </c>
      <c r="K688" s="43" t="s">
        <v>21</v>
      </c>
      <c r="L688" s="44">
        <v>347.0</v>
      </c>
      <c r="M688" s="8"/>
      <c r="N688" s="45" t="s">
        <v>22</v>
      </c>
      <c r="O688" s="97"/>
      <c r="P688" s="35"/>
      <c r="Q688" s="35"/>
      <c r="R688" s="68"/>
      <c r="S688" s="68"/>
      <c r="T688" s="68"/>
      <c r="U688" s="35"/>
      <c r="V688" s="35"/>
      <c r="W688" s="35"/>
      <c r="X688" s="35"/>
      <c r="Y688" s="35"/>
      <c r="Z688" s="35"/>
      <c r="AA688" s="35"/>
      <c r="AB688" s="35"/>
      <c r="AC688" s="101"/>
      <c r="AD688" s="98"/>
      <c r="AE688" s="98"/>
      <c r="AF688" s="98"/>
      <c r="AG688" s="98"/>
      <c r="AH688" s="98"/>
      <c r="AI688" s="98"/>
      <c r="AJ688" s="98"/>
      <c r="AK688" s="98"/>
      <c r="AL688" s="98"/>
      <c r="AM688" s="98"/>
      <c r="AN688" s="98"/>
      <c r="AO688" s="98"/>
      <c r="AP688" s="98"/>
    </row>
    <row r="689" ht="79.5" customHeight="1">
      <c r="A689" s="29"/>
      <c r="B689" s="38" t="s">
        <v>23</v>
      </c>
      <c r="C689" s="39" t="s">
        <v>1891</v>
      </c>
      <c r="D689" s="40" t="s">
        <v>1879</v>
      </c>
      <c r="E689" s="118"/>
      <c r="F689" s="40"/>
      <c r="G689" s="39"/>
      <c r="H689" s="41" t="s">
        <v>79</v>
      </c>
      <c r="I689" s="48" t="s">
        <v>1892</v>
      </c>
      <c r="J689" s="42" t="str">
        <f>IFERROR(__xludf.DUMMYFUNCTION("GOOGLETRANSLATE(I689,""en"",""pl"")"),"Obudowa kamery zewnętrznej ze stałym mocowaniem, kompatybilna ze wszystkimi kamerami pudełkowymi, wbudowany odmrażacz/ogrzewacz i wentylator, IP66, PoE/12 V DC, kolor kości słoniowej")</f>
        <v>Obudowa kamery zewnętrznej ze stałym mocowaniem, kompatybilna ze wszystkimi kamerami pudełkowymi, wbudowany odmrażacz/ogrzewacz i wentylator, IP66, PoE/12 V DC, kolor kości słoniowej</v>
      </c>
      <c r="K689" s="43" t="s">
        <v>21</v>
      </c>
      <c r="L689" s="44">
        <v>450.0</v>
      </c>
      <c r="M689" s="8"/>
      <c r="N689" s="45" t="s">
        <v>22</v>
      </c>
      <c r="O689" s="97"/>
      <c r="P689" s="36"/>
      <c r="Q689" s="35"/>
      <c r="R689" s="68"/>
      <c r="S689" s="68"/>
      <c r="T689" s="68"/>
      <c r="U689" s="35"/>
      <c r="V689" s="35"/>
      <c r="W689" s="35"/>
      <c r="X689" s="35"/>
      <c r="Y689" s="35"/>
      <c r="Z689" s="35"/>
      <c r="AA689" s="35"/>
      <c r="AB689" s="35"/>
      <c r="AC689" s="60"/>
      <c r="AD689" s="85"/>
      <c r="AE689" s="85"/>
      <c r="AF689" s="85"/>
      <c r="AG689" s="85"/>
      <c r="AH689" s="85"/>
      <c r="AI689" s="85"/>
      <c r="AJ689" s="85"/>
      <c r="AK689" s="85"/>
      <c r="AL689" s="85"/>
      <c r="AM689" s="85"/>
      <c r="AN689" s="85"/>
      <c r="AO689" s="85"/>
      <c r="AP689" s="85"/>
    </row>
    <row r="690" ht="79.5" customHeight="1">
      <c r="A690" s="29"/>
      <c r="B690" s="38" t="s">
        <v>23</v>
      </c>
      <c r="C690" s="39" t="s">
        <v>1893</v>
      </c>
      <c r="D690" s="40" t="s">
        <v>1894</v>
      </c>
      <c r="E690" s="118"/>
      <c r="F690" s="40"/>
      <c r="G690" s="39"/>
      <c r="H690" s="41" t="s">
        <v>79</v>
      </c>
      <c r="I690" s="48" t="s">
        <v>1895</v>
      </c>
      <c r="J690" s="42" t="str">
        <f>IFERROR(__xludf.DUMMYFUNCTION("GOOGLETRANSLATE(I690,""en"",""pl"")"),"Aluminiowy uchwyt do kamer stacjonarnych, kompatybilny z kamerami typu box, uchwyt do STH-500/200, srebrny")</f>
        <v>Aluminiowy uchwyt do kamer stacjonarnych, kompatybilny z kamerami typu box, uchwyt do STH-500/200, srebrny</v>
      </c>
      <c r="K690" s="43" t="s">
        <v>21</v>
      </c>
      <c r="L690" s="44">
        <v>28.0</v>
      </c>
      <c r="M690" s="8"/>
      <c r="N690" s="45" t="s">
        <v>22</v>
      </c>
      <c r="O690" s="97"/>
      <c r="P690" s="35"/>
      <c r="Q690" s="35"/>
      <c r="R690" s="68"/>
      <c r="S690" s="68"/>
      <c r="T690" s="68"/>
      <c r="U690" s="35"/>
      <c r="V690" s="35"/>
      <c r="W690" s="35"/>
      <c r="X690" s="35"/>
      <c r="Y690" s="35"/>
      <c r="Z690" s="35"/>
      <c r="AA690" s="35"/>
      <c r="AB690" s="35"/>
      <c r="AC690" s="101"/>
      <c r="AD690" s="98"/>
      <c r="AE690" s="98"/>
      <c r="AF690" s="98"/>
      <c r="AG690" s="98"/>
      <c r="AH690" s="98"/>
      <c r="AI690" s="98"/>
      <c r="AJ690" s="98"/>
      <c r="AK690" s="98"/>
      <c r="AL690" s="98"/>
      <c r="AM690" s="98"/>
      <c r="AN690" s="98"/>
      <c r="AO690" s="98"/>
      <c r="AP690" s="98"/>
    </row>
    <row r="691" ht="79.5" customHeight="1">
      <c r="A691" s="29"/>
      <c r="B691" s="38" t="s">
        <v>23</v>
      </c>
      <c r="C691" s="39" t="s">
        <v>1896</v>
      </c>
      <c r="D691" s="40" t="s">
        <v>1897</v>
      </c>
      <c r="E691" s="118"/>
      <c r="F691" s="40"/>
      <c r="G691" s="39"/>
      <c r="H691" s="41" t="s">
        <v>79</v>
      </c>
      <c r="I691" s="48" t="s">
        <v>1898</v>
      </c>
      <c r="J691" s="42" t="str">
        <f>IFERROR(__xludf.DUMMYFUNCTION("GOOGLETRANSLATE(I691,""en"",""pl"")"),"Osłona pogodowa z poliwęglanu, biała, RAL9003, kompatybilna z PNM-9031RV/PNM-C9022RV/PNM-9022V")</f>
        <v>Osłona pogodowa z poliwęglanu, biała, RAL9003, kompatybilna z PNM-9031RV/PNM-C9022RV/PNM-9022V</v>
      </c>
      <c r="K691" s="43" t="s">
        <v>21</v>
      </c>
      <c r="L691" s="44">
        <v>35.0</v>
      </c>
      <c r="M691" s="8"/>
      <c r="N691" s="45" t="s">
        <v>22</v>
      </c>
      <c r="O691" s="97"/>
      <c r="P691" s="36"/>
      <c r="Q691" s="35"/>
      <c r="R691" s="68"/>
      <c r="S691" s="68"/>
      <c r="T691" s="68"/>
      <c r="U691" s="35"/>
      <c r="V691" s="35"/>
      <c r="W691" s="35"/>
      <c r="X691" s="35"/>
      <c r="Y691" s="35"/>
      <c r="Z691" s="35"/>
      <c r="AA691" s="35"/>
      <c r="AB691" s="35"/>
      <c r="AC691" s="60"/>
      <c r="AD691" s="85"/>
      <c r="AE691" s="85"/>
      <c r="AF691" s="85"/>
      <c r="AG691" s="85"/>
      <c r="AH691" s="85"/>
      <c r="AI691" s="85"/>
      <c r="AJ691" s="85"/>
      <c r="AK691" s="85"/>
      <c r="AL691" s="85"/>
      <c r="AM691" s="85"/>
      <c r="AN691" s="85"/>
      <c r="AO691" s="85"/>
      <c r="AP691" s="85"/>
    </row>
    <row r="692" ht="79.5" customHeight="1">
      <c r="A692" s="29"/>
      <c r="B692" s="38" t="s">
        <v>23</v>
      </c>
      <c r="C692" s="39" t="s">
        <v>1899</v>
      </c>
      <c r="D692" s="40" t="s">
        <v>1897</v>
      </c>
      <c r="E692" s="118"/>
      <c r="F692" s="40"/>
      <c r="G692" s="39"/>
      <c r="H692" s="41" t="s">
        <v>79</v>
      </c>
      <c r="I692" s="48" t="s">
        <v>1900</v>
      </c>
      <c r="J692" s="42" t="str">
        <f>IFERROR(__xludf.DUMMYFUNCTION("GOOGLETRANSLATE(I692,""en"",""pl"")"),"Osłona aluminiowa, kompatybilna z XNV- 6010/6020/8020R/8030R/8040R, QNV- 6010R/6020R/6030R/7010R/7020R/7030R, biała")</f>
        <v>Osłona aluminiowa, kompatybilna z XNV- 6010/6020/8020R/8030R/8040R, QNV- 6010R/6020R/6030R/7010R/7020R/7030R, biała</v>
      </c>
      <c r="K692" s="43" t="s">
        <v>21</v>
      </c>
      <c r="L692" s="44">
        <v>28.0</v>
      </c>
      <c r="M692" s="8"/>
      <c r="N692" s="45" t="s">
        <v>22</v>
      </c>
      <c r="O692" s="97"/>
      <c r="P692" s="36"/>
      <c r="Q692" s="35"/>
      <c r="R692" s="68"/>
      <c r="S692" s="68"/>
      <c r="T692" s="68"/>
      <c r="U692" s="35"/>
      <c r="V692" s="35"/>
      <c r="W692" s="35"/>
      <c r="X692" s="35"/>
      <c r="Y692" s="35"/>
      <c r="Z692" s="35"/>
      <c r="AA692" s="35"/>
      <c r="AB692" s="35"/>
      <c r="AC692" s="60"/>
      <c r="AD692" s="85"/>
      <c r="AE692" s="85"/>
      <c r="AF692" s="85"/>
      <c r="AG692" s="85"/>
      <c r="AH692" s="85"/>
      <c r="AI692" s="85"/>
      <c r="AJ692" s="85"/>
      <c r="AK692" s="85"/>
      <c r="AL692" s="85"/>
      <c r="AM692" s="85"/>
      <c r="AN692" s="85"/>
      <c r="AO692" s="85"/>
      <c r="AP692" s="85"/>
    </row>
    <row r="693" ht="79.5" customHeight="1">
      <c r="A693" s="29"/>
      <c r="B693" s="38" t="s">
        <v>23</v>
      </c>
      <c r="C693" s="39" t="s">
        <v>1901</v>
      </c>
      <c r="D693" s="40" t="s">
        <v>1897</v>
      </c>
      <c r="E693" s="118"/>
      <c r="F693" s="40"/>
      <c r="G693" s="39"/>
      <c r="H693" s="41" t="s">
        <v>79</v>
      </c>
      <c r="I693" s="48" t="s">
        <v>1902</v>
      </c>
      <c r="J693" s="42" t="str">
        <f>IFERROR(__xludf.DUMMYFUNCTION("GOOGLETRANSLATE(I693,""en"",""pl"")"),"Osłona przeciwdeszczowa kompatybilna z QNV-C8013R/C8023R")</f>
        <v>Osłona przeciwdeszczowa kompatybilna z QNV-C8013R/C8023R</v>
      </c>
      <c r="K693" s="43" t="s">
        <v>21</v>
      </c>
      <c r="L693" s="44">
        <v>30.0</v>
      </c>
      <c r="M693" s="8"/>
      <c r="N693" s="45" t="s">
        <v>22</v>
      </c>
      <c r="O693" s="97"/>
      <c r="P693" s="35"/>
      <c r="Q693" s="35"/>
      <c r="R693" s="68"/>
      <c r="S693" s="68"/>
      <c r="T693" s="68"/>
      <c r="U693" s="35"/>
      <c r="V693" s="35"/>
      <c r="W693" s="35"/>
      <c r="X693" s="35"/>
      <c r="Y693" s="35"/>
      <c r="Z693" s="35"/>
      <c r="AA693" s="35"/>
      <c r="AB693" s="35"/>
      <c r="AC693" s="101"/>
      <c r="AD693" s="98"/>
      <c r="AE693" s="98"/>
      <c r="AF693" s="98"/>
      <c r="AG693" s="98"/>
      <c r="AH693" s="98"/>
      <c r="AI693" s="98"/>
      <c r="AJ693" s="98"/>
      <c r="AK693" s="98"/>
      <c r="AL693" s="98"/>
      <c r="AM693" s="98"/>
      <c r="AN693" s="98"/>
      <c r="AO693" s="98"/>
      <c r="AP693" s="98"/>
    </row>
    <row r="694" ht="79.5" customHeight="1">
      <c r="A694" s="29"/>
      <c r="B694" s="38" t="s">
        <v>23</v>
      </c>
      <c r="C694" s="39" t="s">
        <v>1903</v>
      </c>
      <c r="D694" s="40" t="s">
        <v>1897</v>
      </c>
      <c r="E694" s="118"/>
      <c r="F694" s="40"/>
      <c r="G694" s="39"/>
      <c r="H694" s="41" t="s">
        <v>79</v>
      </c>
      <c r="I694" s="48" t="s">
        <v>1904</v>
      </c>
      <c r="J694" s="42" t="str">
        <f>IFERROR(__xludf.DUMMYFUNCTION("GOOGLETRANSLATE(I694,""en"",""pl"")"),"Osłona pogodowa z poliwęglanu kompatybilna z TNV-C8011RW")</f>
        <v>Osłona pogodowa z poliwęglanu kompatybilna z TNV-C8011RW</v>
      </c>
      <c r="K694" s="43" t="s">
        <v>21</v>
      </c>
      <c r="L694" s="44">
        <v>30.0</v>
      </c>
      <c r="M694" s="8"/>
      <c r="N694" s="45" t="s">
        <v>22</v>
      </c>
      <c r="O694" s="97"/>
      <c r="P694" s="36"/>
      <c r="Q694" s="35"/>
      <c r="R694" s="68"/>
      <c r="S694" s="68"/>
      <c r="T694" s="68"/>
      <c r="U694" s="35"/>
      <c r="V694" s="35"/>
      <c r="W694" s="35"/>
      <c r="X694" s="35"/>
      <c r="Y694" s="35"/>
      <c r="Z694" s="35"/>
      <c r="AA694" s="35"/>
      <c r="AB694" s="35"/>
      <c r="AC694" s="60"/>
      <c r="AD694" s="85"/>
      <c r="AE694" s="85"/>
      <c r="AF694" s="85"/>
      <c r="AG694" s="85"/>
      <c r="AH694" s="85"/>
      <c r="AI694" s="85"/>
      <c r="AJ694" s="85"/>
      <c r="AK694" s="85"/>
      <c r="AL694" s="85"/>
      <c r="AM694" s="85"/>
      <c r="AN694" s="85"/>
      <c r="AO694" s="85"/>
      <c r="AP694" s="85"/>
    </row>
    <row r="695" ht="79.5" customHeight="1">
      <c r="A695" s="29"/>
      <c r="B695" s="38" t="s">
        <v>23</v>
      </c>
      <c r="C695" s="39" t="s">
        <v>1905</v>
      </c>
      <c r="D695" s="40" t="s">
        <v>1897</v>
      </c>
      <c r="E695" s="118"/>
      <c r="F695" s="40"/>
      <c r="G695" s="39"/>
      <c r="H695" s="41" t="s">
        <v>79</v>
      </c>
      <c r="I695" s="48" t="s">
        <v>1906</v>
      </c>
      <c r="J695" s="42" t="str">
        <f>IFERROR(__xludf.DUMMYFUNCTION("GOOGLETRANSLATE(I695,""en"",""pl"")"),"Aluminiowa osłona przeciwdeszczowa, kompatybilna z XNV-6080/R/8080R/6120R/L6080/R, PNV-9080R, SNV-8081/8080/7084/R/6084/R/6085R/5084/R, SCV-6081R")</f>
        <v>Aluminiowa osłona przeciwdeszczowa, kompatybilna z XNV-6080/R/8080R/6120R/L6080/R, PNV-9080R, SNV-8081/8080/7084/R/6084/R/6085R/5084/R, SCV-6081R</v>
      </c>
      <c r="K695" s="43" t="s">
        <v>21</v>
      </c>
      <c r="L695" s="44">
        <v>24.0</v>
      </c>
      <c r="M695" s="8"/>
      <c r="N695" s="45" t="s">
        <v>22</v>
      </c>
      <c r="O695" s="97"/>
      <c r="P695" s="36"/>
      <c r="Q695" s="35"/>
      <c r="R695" s="68"/>
      <c r="S695" s="68"/>
      <c r="T695" s="68"/>
      <c r="U695" s="35"/>
      <c r="V695" s="35"/>
      <c r="W695" s="35"/>
      <c r="X695" s="35"/>
      <c r="Y695" s="35"/>
      <c r="Z695" s="35"/>
      <c r="AA695" s="35"/>
      <c r="AB695" s="35"/>
      <c r="AC695" s="60"/>
      <c r="AD695" s="85"/>
      <c r="AE695" s="85"/>
      <c r="AF695" s="85"/>
      <c r="AG695" s="85"/>
      <c r="AH695" s="85"/>
      <c r="AI695" s="85"/>
      <c r="AJ695" s="85"/>
      <c r="AK695" s="85"/>
      <c r="AL695" s="85"/>
      <c r="AM695" s="85"/>
      <c r="AN695" s="85"/>
      <c r="AO695" s="85"/>
      <c r="AP695" s="85"/>
    </row>
    <row r="696" ht="79.5" customHeight="1">
      <c r="A696" s="29"/>
      <c r="B696" s="38" t="s">
        <v>23</v>
      </c>
      <c r="C696" s="39" t="s">
        <v>1907</v>
      </c>
      <c r="D696" s="40" t="s">
        <v>1897</v>
      </c>
      <c r="E696" s="118"/>
      <c r="F696" s="40"/>
      <c r="G696" s="39"/>
      <c r="H696" s="41" t="s">
        <v>79</v>
      </c>
      <c r="I696" s="48" t="s">
        <v>1908</v>
      </c>
      <c r="J696" s="42" t="str">
        <f>IFERROR(__xludf.DUMMYFUNCTION("GOOGLETRANSLATE(I696,""en"",""pl"")"),"Osłona przeciwdeszczowa z poliwęglanu, biała, RAL9003, kompatybilna z XNV-C6083R/C7083R/C8083R/C9083R
")</f>
        <v>Osłona przeciwdeszczowa z poliwęglanu, biała, RAL9003, kompatybilna z XNV-C6083R/C7083R/C8083R/C9083R
</v>
      </c>
      <c r="K696" s="43" t="s">
        <v>21</v>
      </c>
      <c r="L696" s="44">
        <v>30.0</v>
      </c>
      <c r="M696" s="8"/>
      <c r="N696" s="45" t="s">
        <v>22</v>
      </c>
      <c r="O696" s="97"/>
      <c r="P696" s="35"/>
      <c r="Q696" s="35"/>
      <c r="R696" s="68"/>
      <c r="S696" s="68"/>
      <c r="T696" s="68"/>
      <c r="U696" s="35"/>
      <c r="V696" s="35"/>
      <c r="W696" s="35"/>
      <c r="X696" s="35"/>
      <c r="Y696" s="35"/>
      <c r="Z696" s="35"/>
      <c r="AA696" s="35"/>
      <c r="AB696" s="35"/>
      <c r="AC696" s="101"/>
      <c r="AD696" s="98"/>
      <c r="AE696" s="98"/>
      <c r="AF696" s="98"/>
      <c r="AG696" s="98"/>
      <c r="AH696" s="98"/>
      <c r="AI696" s="98"/>
      <c r="AJ696" s="98"/>
      <c r="AK696" s="98"/>
      <c r="AL696" s="98"/>
      <c r="AM696" s="98"/>
      <c r="AN696" s="98"/>
      <c r="AO696" s="98"/>
      <c r="AP696" s="98"/>
    </row>
    <row r="697" ht="79.5" customHeight="1">
      <c r="A697" s="29"/>
      <c r="B697" s="38" t="s">
        <v>23</v>
      </c>
      <c r="C697" s="39" t="s">
        <v>1909</v>
      </c>
      <c r="D697" s="40" t="s">
        <v>1506</v>
      </c>
      <c r="E697" s="118"/>
      <c r="F697" s="40"/>
      <c r="G697" s="39"/>
      <c r="H697" s="41" t="s">
        <v>79</v>
      </c>
      <c r="I697" s="48" t="s">
        <v>1910</v>
      </c>
      <c r="J697" s="42" t="str">
        <f>IFERROR(__xludf.DUMMYFUNCTION("GOOGLETRANSLATE(I697,""en"",""pl"")"),"Uchwyt uchylny, aluminiowy, biały, waga 450 g (0,99 funta), kompatybilny z QNV-C8083R/C9083R, QNV-C8011R/C8012/C9011R, QND-6011/21, QND-8011/21, QND-6012R/22R/72R/82R, QND-7012R/22R/82R, QNE-8011R/21R")</f>
        <v>Uchwyt uchylny, aluminiowy, biały, waga 450 g (0,99 funta), kompatybilny z QNV-C8083R/C9083R, QNV-C8011R/C8012/C9011R, QND-6011/21, QND-8011/21, QND-6012R/22R/72R/82R, QND-7012R/22R/82R, QNE-8011R/21R</v>
      </c>
      <c r="K697" s="43" t="s">
        <v>21</v>
      </c>
      <c r="L697" s="44">
        <v>49.0</v>
      </c>
      <c r="M697" s="8"/>
      <c r="N697" s="45" t="s">
        <v>22</v>
      </c>
      <c r="O697" s="97"/>
      <c r="P697" s="36"/>
      <c r="Q697" s="35"/>
      <c r="R697" s="68"/>
      <c r="S697" s="68"/>
      <c r="T697" s="68"/>
      <c r="U697" s="35"/>
      <c r="V697" s="35"/>
      <c r="W697" s="35"/>
      <c r="X697" s="35"/>
      <c r="Y697" s="35"/>
      <c r="Z697" s="35"/>
      <c r="AA697" s="35"/>
      <c r="AB697" s="35"/>
      <c r="AC697" s="60"/>
      <c r="AD697" s="85"/>
      <c r="AE697" s="85"/>
      <c r="AF697" s="85"/>
      <c r="AG697" s="85"/>
      <c r="AH697" s="85"/>
      <c r="AI697" s="85"/>
      <c r="AJ697" s="85"/>
      <c r="AK697" s="85"/>
      <c r="AL697" s="85"/>
      <c r="AM697" s="85"/>
      <c r="AN697" s="85"/>
      <c r="AO697" s="85"/>
      <c r="AP697" s="85"/>
    </row>
    <row r="698" ht="79.5" customHeight="1">
      <c r="A698" s="29"/>
      <c r="B698" s="38" t="s">
        <v>23</v>
      </c>
      <c r="C698" s="39" t="s">
        <v>1911</v>
      </c>
      <c r="D698" s="40" t="s">
        <v>1506</v>
      </c>
      <c r="E698" s="118"/>
      <c r="F698" s="40"/>
      <c r="G698" s="39"/>
      <c r="H698" s="41" t="s">
        <v>79</v>
      </c>
      <c r="I698" s="48" t="s">
        <v>1912</v>
      </c>
      <c r="J698" s="42" t="str">
        <f>IFERROR(__xludf.DUMMYFUNCTION("GOOGLETRANSLATE(I698,""en"",""pl"")"),"Uchwyt uchylny do TNV-C8011RW")</f>
        <v>Uchwyt uchylny do TNV-C8011RW</v>
      </c>
      <c r="K698" s="43" t="s">
        <v>21</v>
      </c>
      <c r="L698" s="44">
        <v>35.0</v>
      </c>
      <c r="M698" s="8"/>
      <c r="N698" s="45" t="s">
        <v>22</v>
      </c>
      <c r="O698" s="97"/>
      <c r="P698" s="36"/>
      <c r="Q698" s="35"/>
      <c r="R698" s="68"/>
      <c r="S698" s="68"/>
      <c r="T698" s="68"/>
      <c r="U698" s="35"/>
      <c r="V698" s="35"/>
      <c r="W698" s="35"/>
      <c r="X698" s="35"/>
      <c r="Y698" s="35"/>
      <c r="Z698" s="35"/>
      <c r="AA698" s="35"/>
      <c r="AB698" s="35"/>
      <c r="AC698" s="60"/>
      <c r="AD698" s="85"/>
      <c r="AE698" s="85"/>
      <c r="AF698" s="85"/>
      <c r="AG698" s="85"/>
      <c r="AH698" s="85"/>
      <c r="AI698" s="85"/>
      <c r="AJ698" s="85"/>
      <c r="AK698" s="85"/>
      <c r="AL698" s="85"/>
      <c r="AM698" s="85"/>
      <c r="AN698" s="85"/>
      <c r="AO698" s="85"/>
      <c r="AP698" s="85"/>
    </row>
    <row r="699" ht="79.5" customHeight="1">
      <c r="A699" s="29"/>
      <c r="B699" s="38" t="s">
        <v>23</v>
      </c>
      <c r="C699" s="39" t="s">
        <v>1913</v>
      </c>
      <c r="D699" s="40" t="s">
        <v>1503</v>
      </c>
      <c r="E699" s="118"/>
      <c r="F699" s="40"/>
      <c r="G699" s="39"/>
      <c r="H699" s="41" t="s">
        <v>79</v>
      </c>
      <c r="I699" s="48" t="s">
        <v>1914</v>
      </c>
      <c r="J699" s="42" t="str">
        <f>IFERROR(__xludf.DUMMYFUNCTION("GOOGLETRANSLATE(I699,""en"",""pl"")"),"Tylna obudowa, aluminiowa, biała, kompatybilna z QNV-C8083R/C9083R, QNV-C8011R/C8012/C9011R, QND-6011/21, QND-8011/21, QND-6012R/22R/72R/82R, QND-7012R/22R/82R, QNE-8011R/21R")</f>
        <v>Tylna obudowa, aluminiowa, biała, kompatybilna z QNV-C8083R/C9083R, QNV-C8011R/C8012/C9011R, QND-6011/21, QND-8011/21, QND-6012R/22R/72R/82R, QND-7012R/22R/82R, QNE-8011R/21R</v>
      </c>
      <c r="K699" s="43" t="s">
        <v>21</v>
      </c>
      <c r="L699" s="44">
        <v>49.0</v>
      </c>
      <c r="M699" s="8"/>
      <c r="N699" s="45" t="s">
        <v>22</v>
      </c>
      <c r="O699" s="97"/>
      <c r="P699" s="36"/>
      <c r="Q699" s="35"/>
      <c r="R699" s="68"/>
      <c r="S699" s="68"/>
      <c r="T699" s="68"/>
      <c r="U699" s="35"/>
      <c r="V699" s="35"/>
      <c r="W699" s="35"/>
      <c r="X699" s="35"/>
      <c r="Y699" s="35"/>
      <c r="Z699" s="35"/>
      <c r="AA699" s="35"/>
      <c r="AB699" s="35"/>
      <c r="AC699" s="60"/>
      <c r="AD699" s="85"/>
      <c r="AE699" s="85"/>
      <c r="AF699" s="85"/>
      <c r="AG699" s="85"/>
      <c r="AH699" s="85"/>
      <c r="AI699" s="85"/>
      <c r="AJ699" s="85"/>
      <c r="AK699" s="85"/>
      <c r="AL699" s="85"/>
      <c r="AM699" s="85"/>
      <c r="AN699" s="85"/>
      <c r="AO699" s="85"/>
      <c r="AP699" s="85"/>
    </row>
    <row r="700" ht="79.5" customHeight="1">
      <c r="A700" s="29"/>
      <c r="B700" s="38" t="s">
        <v>23</v>
      </c>
      <c r="C700" s="39" t="s">
        <v>1915</v>
      </c>
      <c r="D700" s="40" t="s">
        <v>1858</v>
      </c>
      <c r="E700" s="118"/>
      <c r="F700" s="40"/>
      <c r="G700" s="39"/>
      <c r="H700" s="41" t="s">
        <v>79</v>
      </c>
      <c r="I700" s="48" t="s">
        <v>1916</v>
      </c>
      <c r="J700" s="42" t="str">
        <f>IFERROR(__xludf.DUMMYFUNCTION("GOOGLETRANSLATE(I700,""en"",""pl"")"),"Wodoodporna obudowa tylna, aluminiowa, biała, kompatybilna z QNV-C8083R/C9083R, QNV-C8011R/C8012/C9011R, QND-6011/6021, QND-8011/8021, QND-6012R/6022R/6082R, QND-7012R/7022R/7082R, QNE-8011R/8021R")</f>
        <v>Wodoodporna obudowa tylna, aluminiowa, biała, kompatybilna z QNV-C8083R/C9083R, QNV-C8011R/C8012/C9011R, QND-6011/6021, QND-8011/8021, QND-6012R/6022R/6082R, QND-7012R/7022R/7082R, QNE-8011R/8021R</v>
      </c>
      <c r="K700" s="43" t="s">
        <v>21</v>
      </c>
      <c r="L700" s="44">
        <v>76.0</v>
      </c>
      <c r="M700" s="8"/>
      <c r="N700" s="45" t="s">
        <v>22</v>
      </c>
      <c r="O700" s="97"/>
      <c r="P700" s="36"/>
      <c r="Q700" s="35"/>
      <c r="R700" s="68"/>
      <c r="S700" s="68"/>
      <c r="T700" s="68"/>
      <c r="U700" s="35"/>
      <c r="V700" s="35"/>
      <c r="W700" s="35"/>
      <c r="X700" s="35"/>
      <c r="Y700" s="35"/>
      <c r="Z700" s="35"/>
      <c r="AA700" s="35"/>
      <c r="AB700" s="35"/>
      <c r="AC700" s="60"/>
      <c r="AD700" s="85"/>
      <c r="AE700" s="85"/>
      <c r="AF700" s="85"/>
      <c r="AG700" s="85"/>
      <c r="AH700" s="85"/>
      <c r="AI700" s="85"/>
      <c r="AJ700" s="85"/>
      <c r="AK700" s="85"/>
      <c r="AL700" s="85"/>
      <c r="AM700" s="85"/>
      <c r="AN700" s="85"/>
      <c r="AO700" s="85"/>
      <c r="AP700" s="85"/>
    </row>
    <row r="701" ht="79.5" customHeight="1">
      <c r="A701" s="29"/>
      <c r="B701" s="38" t="s">
        <v>23</v>
      </c>
      <c r="C701" s="39" t="s">
        <v>1917</v>
      </c>
      <c r="D701" s="40" t="s">
        <v>1503</v>
      </c>
      <c r="E701" s="118"/>
      <c r="F701" s="40"/>
      <c r="G701" s="39"/>
      <c r="H701" s="41" t="s">
        <v>79</v>
      </c>
      <c r="I701" s="48" t="s">
        <v>1918</v>
      </c>
      <c r="J701" s="42" t="str">
        <f>IFERROR(__xludf.DUMMYFUNCTION("GOOGLETRANSLATE(I701,""en"",""pl"")"),"Tylna obudowa, aluminiowa, biała, waga 390 g (0,86 funta), kompatybilna z: QNO-C8083R/C9083R, ANO-L6012R/22R/82R, ANO-L7012R/22R/82R")</f>
        <v>Tylna obudowa, aluminiowa, biała, waga 390 g (0,86 funta), kompatybilna z: QNO-C8083R/C9083R, ANO-L6012R/22R/82R, ANO-L7012R/22R/82R</v>
      </c>
      <c r="K701" s="43" t="s">
        <v>21</v>
      </c>
      <c r="L701" s="44">
        <v>49.0</v>
      </c>
      <c r="M701" s="8"/>
      <c r="N701" s="45" t="s">
        <v>22</v>
      </c>
      <c r="O701" s="97"/>
      <c r="P701" s="36"/>
      <c r="Q701" s="35"/>
      <c r="R701" s="68"/>
      <c r="S701" s="68"/>
      <c r="T701" s="68"/>
      <c r="U701" s="35"/>
      <c r="V701" s="35"/>
      <c r="W701" s="35"/>
      <c r="X701" s="35"/>
      <c r="Y701" s="35"/>
      <c r="Z701" s="35"/>
      <c r="AA701" s="35"/>
      <c r="AB701" s="35"/>
      <c r="AC701" s="60"/>
      <c r="AD701" s="85"/>
      <c r="AE701" s="85"/>
      <c r="AF701" s="85"/>
      <c r="AG701" s="85"/>
      <c r="AH701" s="85"/>
      <c r="AI701" s="85"/>
      <c r="AJ701" s="85"/>
      <c r="AK701" s="85"/>
      <c r="AL701" s="85"/>
      <c r="AM701" s="85"/>
      <c r="AN701" s="85"/>
      <c r="AO701" s="85"/>
      <c r="AP701" s="85"/>
    </row>
    <row r="702" ht="79.5" customHeight="1">
      <c r="A702" s="29"/>
      <c r="B702" s="38" t="s">
        <v>23</v>
      </c>
      <c r="C702" s="39" t="s">
        <v>1919</v>
      </c>
      <c r="D702" s="40" t="s">
        <v>1858</v>
      </c>
      <c r="E702" s="118"/>
      <c r="F702" s="40"/>
      <c r="G702" s="39"/>
      <c r="H702" s="41" t="s">
        <v>79</v>
      </c>
      <c r="I702" s="48" t="s">
        <v>1920</v>
      </c>
      <c r="J702" s="42" t="str">
        <f>IFERROR(__xludf.DUMMYFUNCTION("GOOGLETRANSLATE(I702,""en"",""pl"")"),"Wodoodporna obudowa tylna, aluminiowa, biała, kompatybilna z QNO-C8083R/C9083R, ANO-L6012R/22R/82R, ANO-L7012R/22R/82R")</f>
        <v>Wodoodporna obudowa tylna, aluminiowa, biała, kompatybilna z QNO-C8083R/C9083R, ANO-L6012R/22R/82R, ANO-L7012R/22R/82R</v>
      </c>
      <c r="K702" s="43" t="s">
        <v>21</v>
      </c>
      <c r="L702" s="44">
        <v>76.0</v>
      </c>
      <c r="M702" s="8"/>
      <c r="N702" s="45" t="s">
        <v>22</v>
      </c>
      <c r="O702" s="97"/>
      <c r="P702" s="36"/>
      <c r="Q702" s="35"/>
      <c r="R702" s="68"/>
      <c r="S702" s="68"/>
      <c r="T702" s="68"/>
      <c r="U702" s="35"/>
      <c r="V702" s="35"/>
      <c r="W702" s="35"/>
      <c r="X702" s="35"/>
      <c r="Y702" s="35"/>
      <c r="Z702" s="35"/>
      <c r="AA702" s="35"/>
      <c r="AB702" s="35"/>
      <c r="AC702" s="60"/>
      <c r="AD702" s="85"/>
      <c r="AE702" s="85"/>
      <c r="AF702" s="85"/>
      <c r="AG702" s="85"/>
      <c r="AH702" s="85"/>
      <c r="AI702" s="85"/>
      <c r="AJ702" s="85"/>
      <c r="AK702" s="85"/>
      <c r="AL702" s="85"/>
      <c r="AM702" s="85"/>
      <c r="AN702" s="85"/>
      <c r="AO702" s="85"/>
      <c r="AP702" s="85"/>
    </row>
    <row r="703" ht="79.5" customHeight="1">
      <c r="A703" s="29"/>
      <c r="B703" s="38" t="s">
        <v>23</v>
      </c>
      <c r="C703" s="39" t="s">
        <v>1921</v>
      </c>
      <c r="D703" s="40" t="s">
        <v>1503</v>
      </c>
      <c r="E703" s="118"/>
      <c r="F703" s="40"/>
      <c r="G703" s="39"/>
      <c r="H703" s="41" t="s">
        <v>79</v>
      </c>
      <c r="I703" s="48" t="s">
        <v>1922</v>
      </c>
      <c r="J703" s="42" t="str">
        <f>IFERROR(__xludf.DUMMYFUNCTION("GOOGLETRANSLATE(I703,""en"",""pl"")"),"Skrzynka tylna do serii A (ANE-L6012R, ANE-L7012R, ANO-L6012R, ANO-L6022R, ANO-L6082R, ANO-L7012R, ANO-L7022R, ANO-L7082R, ANV-L6012R, ANV-L6082R, ANV-L7012R, ANV-L7082R) i kable połączeniowe")</f>
        <v>Skrzynka tylna do serii A (ANE-L6012R, ANE-L7012R, ANO-L6012R, ANO-L6022R, ANO-L6082R, ANO-L7012R, ANO-L7022R, ANO-L7082R, ANV-L6012R, ANV-L6082R, ANV-L7012R, ANV-L7082R) i kable połączeniowe</v>
      </c>
      <c r="K703" s="43" t="s">
        <v>21</v>
      </c>
      <c r="L703" s="44">
        <v>54.0</v>
      </c>
      <c r="M703" s="8"/>
      <c r="N703" s="45" t="s">
        <v>22</v>
      </c>
      <c r="O703" s="97"/>
      <c r="P703" s="36"/>
      <c r="Q703" s="35"/>
      <c r="R703" s="68"/>
      <c r="S703" s="68"/>
      <c r="T703" s="68"/>
      <c r="U703" s="35"/>
      <c r="V703" s="35"/>
      <c r="W703" s="35"/>
      <c r="X703" s="35"/>
      <c r="Y703" s="35"/>
      <c r="Z703" s="35"/>
      <c r="AA703" s="35"/>
      <c r="AB703" s="35"/>
      <c r="AC703" s="60"/>
      <c r="AD703" s="85"/>
      <c r="AE703" s="85"/>
      <c r="AF703" s="85"/>
      <c r="AG703" s="85"/>
      <c r="AH703" s="85"/>
      <c r="AI703" s="85"/>
      <c r="AJ703" s="85"/>
      <c r="AK703" s="85"/>
      <c r="AL703" s="85"/>
      <c r="AM703" s="85"/>
      <c r="AN703" s="85"/>
      <c r="AO703" s="85"/>
      <c r="AP703" s="85"/>
    </row>
    <row r="704" ht="79.5" customHeight="1">
      <c r="A704" s="29"/>
      <c r="B704" s="38" t="s">
        <v>23</v>
      </c>
      <c r="C704" s="39" t="s">
        <v>1923</v>
      </c>
      <c r="D704" s="40" t="s">
        <v>1897</v>
      </c>
      <c r="E704" s="118"/>
      <c r="F704" s="40"/>
      <c r="G704" s="39"/>
      <c r="H704" s="41" t="s">
        <v>79</v>
      </c>
      <c r="I704" s="125" t="s">
        <v>1924</v>
      </c>
      <c r="J704" s="42" t="str">
        <f>IFERROR(__xludf.DUMMYFUNCTION("GOOGLETRANSLATE(I704,""en"",""pl"")"),"Nakładka zabezpieczająca przed warunkami atmosferycznymi, biała, materiał: gwint aluminiowy, nakładka plastikowa, kompatybilna z PNM-C7083RVD, PNM-C12083RVD i PNM-7082RVD, PNM-12082RVD")</f>
        <v>Nakładka zabezpieczająca przed warunkami atmosferycznymi, biała, materiał: gwint aluminiowy, nakładka plastikowa, kompatybilna z PNM-C7083RVD, PNM-C12083RVD i PNM-7082RVD, PNM-12082RVD</v>
      </c>
      <c r="K704" s="43" t="s">
        <v>21</v>
      </c>
      <c r="L704" s="44">
        <v>40.0</v>
      </c>
      <c r="M704" s="8"/>
      <c r="N704" s="45" t="s">
        <v>22</v>
      </c>
      <c r="O704" s="97"/>
      <c r="P704" s="35"/>
      <c r="Q704" s="35"/>
      <c r="R704" s="68"/>
      <c r="S704" s="68"/>
      <c r="T704" s="68"/>
      <c r="U704" s="35"/>
      <c r="V704" s="35"/>
      <c r="W704" s="35"/>
      <c r="X704" s="35"/>
      <c r="Y704" s="35"/>
      <c r="Z704" s="35"/>
      <c r="AA704" s="35"/>
      <c r="AB704" s="35"/>
      <c r="AC704" s="101"/>
      <c r="AD704" s="98"/>
      <c r="AE704" s="98"/>
      <c r="AF704" s="98"/>
      <c r="AG704" s="98"/>
      <c r="AH704" s="98"/>
      <c r="AI704" s="98"/>
      <c r="AJ704" s="98"/>
      <c r="AK704" s="98"/>
      <c r="AL704" s="98"/>
      <c r="AM704" s="98"/>
      <c r="AN704" s="98"/>
      <c r="AO704" s="98"/>
      <c r="AP704" s="98"/>
    </row>
    <row r="705" ht="79.5" customHeight="1">
      <c r="A705" s="29"/>
      <c r="B705" s="38" t="s">
        <v>23</v>
      </c>
      <c r="C705" s="39" t="s">
        <v>1925</v>
      </c>
      <c r="D705" s="40" t="s">
        <v>1926</v>
      </c>
      <c r="E705" s="118"/>
      <c r="F705" s="40"/>
      <c r="G705" s="39"/>
      <c r="H705" s="41" t="s">
        <v>170</v>
      </c>
      <c r="I705" s="48" t="s">
        <v>1926</v>
      </c>
      <c r="J705" s="42" t="str">
        <f>IFERROR(__xludf.DUMMYFUNCTION("GOOGLETRANSLATE(I705,""en"",""pl"")"),"Uchwyt na szyję łabędzia")</f>
        <v>Uchwyt na szyję łabędzia</v>
      </c>
      <c r="K705" s="43" t="s">
        <v>21</v>
      </c>
      <c r="L705" s="44">
        <v>194.0</v>
      </c>
      <c r="M705" s="8"/>
      <c r="N705" s="45" t="s">
        <v>22</v>
      </c>
      <c r="O705" s="97"/>
      <c r="P705" s="35"/>
      <c r="Q705" s="35"/>
      <c r="R705" s="68"/>
      <c r="S705" s="68"/>
      <c r="T705" s="68"/>
      <c r="U705" s="35"/>
      <c r="V705" s="35"/>
      <c r="W705" s="35"/>
      <c r="X705" s="35"/>
      <c r="Y705" s="35"/>
      <c r="Z705" s="35"/>
      <c r="AA705" s="35"/>
      <c r="AB705" s="35"/>
      <c r="AC705" s="101"/>
      <c r="AD705" s="98"/>
      <c r="AE705" s="98"/>
      <c r="AF705" s="98"/>
      <c r="AG705" s="98"/>
      <c r="AH705" s="98"/>
      <c r="AI705" s="98"/>
      <c r="AJ705" s="98"/>
      <c r="AK705" s="98"/>
      <c r="AL705" s="98"/>
      <c r="AM705" s="98"/>
      <c r="AN705" s="98"/>
      <c r="AO705" s="98"/>
      <c r="AP705" s="98"/>
    </row>
    <row r="706" ht="79.5" customHeight="1">
      <c r="A706" s="29"/>
      <c r="B706" s="38" t="s">
        <v>23</v>
      </c>
      <c r="C706" s="39" t="s">
        <v>1927</v>
      </c>
      <c r="D706" s="40" t="s">
        <v>1928</v>
      </c>
      <c r="E706" s="118"/>
      <c r="F706" s="40"/>
      <c r="G706" s="39"/>
      <c r="H706" s="41" t="s">
        <v>1929</v>
      </c>
      <c r="I706" s="48" t="s">
        <v>1930</v>
      </c>
      <c r="J706" s="42" t="str">
        <f>IFERROR(__xludf.DUMMYFUNCTION("GOOGLETRANSLATE(I706,""en"",""pl"")"),"Obudowa i uchwyt do kamery PVM TNB-6030")</f>
        <v>Obudowa i uchwyt do kamery PVM TNB-6030</v>
      </c>
      <c r="K706" s="43" t="s">
        <v>21</v>
      </c>
      <c r="L706" s="44">
        <v>58.0</v>
      </c>
      <c r="M706" s="8"/>
      <c r="N706" s="45" t="s">
        <v>22</v>
      </c>
      <c r="O706" s="97"/>
      <c r="P706" s="36"/>
      <c r="Q706" s="35"/>
      <c r="R706" s="68"/>
      <c r="S706" s="68"/>
      <c r="T706" s="68"/>
      <c r="U706" s="35"/>
      <c r="V706" s="35"/>
      <c r="W706" s="35"/>
      <c r="X706" s="35"/>
      <c r="Y706" s="35"/>
      <c r="Z706" s="35"/>
      <c r="AA706" s="35"/>
      <c r="AB706" s="35"/>
      <c r="AC706" s="60"/>
      <c r="AD706" s="85"/>
      <c r="AE706" s="85"/>
      <c r="AF706" s="85"/>
      <c r="AG706" s="85"/>
      <c r="AH706" s="85"/>
      <c r="AI706" s="85"/>
      <c r="AJ706" s="85"/>
      <c r="AK706" s="85"/>
      <c r="AL706" s="85"/>
      <c r="AM706" s="85"/>
      <c r="AN706" s="85"/>
      <c r="AO706" s="85"/>
      <c r="AP706" s="85"/>
    </row>
    <row r="707" ht="79.5" customHeight="1">
      <c r="A707" s="29"/>
      <c r="B707" s="38" t="s">
        <v>23</v>
      </c>
      <c r="C707" s="39" t="s">
        <v>1931</v>
      </c>
      <c r="D707" s="40" t="s">
        <v>1932</v>
      </c>
      <c r="E707" s="118"/>
      <c r="F707" s="40"/>
      <c r="G707" s="39"/>
      <c r="H707" s="41" t="s">
        <v>79</v>
      </c>
      <c r="I707" s="48" t="s">
        <v>1933</v>
      </c>
      <c r="J707" s="42" t="str">
        <f>IFERROR(__xludf.DUMMYFUNCTION("GOOGLETRANSLATE(I707,""en"",""pl"")"),"Podstawa ze stali nierdzewnej do kamer przeciwwybuchowych, kompatybilna z TNU-6322E i TNU-6322ER")</f>
        <v>Podstawa ze stali nierdzewnej do kamer przeciwwybuchowych, kompatybilna z TNU-6322E i TNU-6322ER</v>
      </c>
      <c r="K707" s="43" t="s">
        <v>21</v>
      </c>
      <c r="L707" s="44">
        <v>1076.0</v>
      </c>
      <c r="M707" s="8"/>
      <c r="N707" s="45" t="s">
        <v>22</v>
      </c>
      <c r="O707" s="97"/>
      <c r="P707" s="35"/>
      <c r="Q707" s="35"/>
      <c r="R707" s="68"/>
      <c r="S707" s="68"/>
      <c r="T707" s="68"/>
      <c r="U707" s="35"/>
      <c r="V707" s="35"/>
      <c r="W707" s="35"/>
      <c r="X707" s="35"/>
      <c r="Y707" s="35"/>
      <c r="Z707" s="35"/>
      <c r="AA707" s="35"/>
      <c r="AB707" s="35"/>
      <c r="AC707" s="101"/>
      <c r="AD707" s="98"/>
      <c r="AE707" s="98"/>
      <c r="AF707" s="98"/>
      <c r="AG707" s="98"/>
      <c r="AH707" s="98"/>
      <c r="AI707" s="98"/>
      <c r="AJ707" s="98"/>
      <c r="AK707" s="98"/>
      <c r="AL707" s="98"/>
      <c r="AM707" s="98"/>
      <c r="AN707" s="98"/>
      <c r="AO707" s="98"/>
      <c r="AP707" s="98"/>
    </row>
    <row r="708" ht="79.5" customHeight="1">
      <c r="A708" s="29"/>
      <c r="B708" s="38" t="s">
        <v>23</v>
      </c>
      <c r="C708" s="39" t="s">
        <v>1934</v>
      </c>
      <c r="D708" s="40" t="s">
        <v>1935</v>
      </c>
      <c r="E708" s="118"/>
      <c r="F708" s="40"/>
      <c r="G708" s="39"/>
      <c r="H708" s="41" t="s">
        <v>79</v>
      </c>
      <c r="I708" s="125" t="s">
        <v>1936</v>
      </c>
      <c r="J708" s="42" t="str">
        <f>IFERROR(__xludf.DUMMYFUNCTION("GOOGLETRANSLATE(I708,""en"",""pl"")"),"Osłona kopułki przydymionej do kamer PTZ wewnątrz pomieszczeń: XNP-6320/QNP-6230/SNP-6321/6320/5430/5321, SNP-L6233/L5233, SCP-3371/2373/2371/2273/2271")</f>
        <v>Osłona kopułki przydymionej do kamer PTZ wewnątrz pomieszczeń: XNP-6320/QNP-6230/SNP-6321/6320/5430/5321, SNP-L6233/L5233, SCP-3371/2373/2371/2273/2271</v>
      </c>
      <c r="K708" s="43" t="s">
        <v>21</v>
      </c>
      <c r="L708" s="44">
        <v>99.0</v>
      </c>
      <c r="M708" s="8"/>
      <c r="N708" s="45" t="s">
        <v>22</v>
      </c>
      <c r="O708" s="97"/>
      <c r="P708" s="36"/>
      <c r="Q708" s="35"/>
      <c r="R708" s="68"/>
      <c r="S708" s="68"/>
      <c r="T708" s="68"/>
      <c r="U708" s="35"/>
      <c r="V708" s="35"/>
      <c r="W708" s="35"/>
      <c r="X708" s="35"/>
      <c r="Y708" s="35"/>
      <c r="Z708" s="35"/>
      <c r="AA708" s="35"/>
      <c r="AB708" s="35"/>
      <c r="AC708" s="60"/>
      <c r="AD708" s="85"/>
      <c r="AE708" s="85"/>
      <c r="AF708" s="85"/>
      <c r="AG708" s="85"/>
      <c r="AH708" s="85"/>
      <c r="AI708" s="85"/>
      <c r="AJ708" s="85"/>
      <c r="AK708" s="85"/>
      <c r="AL708" s="85"/>
      <c r="AM708" s="85"/>
      <c r="AN708" s="85"/>
      <c r="AO708" s="85"/>
      <c r="AP708" s="85"/>
    </row>
    <row r="709" ht="79.5" customHeight="1">
      <c r="A709" s="29"/>
      <c r="B709" s="38" t="s">
        <v>23</v>
      </c>
      <c r="C709" s="39" t="s">
        <v>1937</v>
      </c>
      <c r="D709" s="40" t="s">
        <v>1935</v>
      </c>
      <c r="E709" s="118"/>
      <c r="F709" s="40"/>
      <c r="G709" s="39"/>
      <c r="H709" s="41" t="s">
        <v>79</v>
      </c>
      <c r="I709" s="48" t="s">
        <v>1938</v>
      </c>
      <c r="J709" s="42" t="str">
        <f>IFERROR(__xludf.DUMMYFUNCTION("GOOGLETRANSLATE(I709,""en"",""pl"")"),"Osłona kopułki przydymionej do XNP-6120H")</f>
        <v>Osłona kopułki przydymionej do XNP-6120H</v>
      </c>
      <c r="K709" s="43" t="s">
        <v>21</v>
      </c>
      <c r="L709" s="44">
        <v>86.0</v>
      </c>
      <c r="M709" s="8"/>
      <c r="N709" s="45" t="s">
        <v>22</v>
      </c>
      <c r="O709" s="97"/>
      <c r="P709" s="36"/>
      <c r="Q709" s="35"/>
      <c r="R709" s="68"/>
      <c r="S709" s="68"/>
      <c r="T709" s="68"/>
      <c r="U709" s="35"/>
      <c r="V709" s="35"/>
      <c r="W709" s="35"/>
      <c r="X709" s="35"/>
      <c r="Y709" s="35"/>
      <c r="Z709" s="35"/>
      <c r="AA709" s="35"/>
      <c r="AB709" s="35"/>
      <c r="AC709" s="60"/>
      <c r="AD709" s="85"/>
      <c r="AE709" s="85"/>
      <c r="AF709" s="85"/>
      <c r="AG709" s="85"/>
      <c r="AH709" s="85"/>
      <c r="AI709" s="85"/>
      <c r="AJ709" s="85"/>
      <c r="AK709" s="85"/>
      <c r="AL709" s="85"/>
      <c r="AM709" s="85"/>
      <c r="AN709" s="85"/>
      <c r="AO709" s="85"/>
      <c r="AP709" s="85"/>
    </row>
    <row r="710" ht="79.5" customHeight="1">
      <c r="A710" s="29"/>
      <c r="B710" s="38" t="s">
        <v>23</v>
      </c>
      <c r="C710" s="39" t="s">
        <v>1939</v>
      </c>
      <c r="D710" s="40" t="s">
        <v>1935</v>
      </c>
      <c r="E710" s="118"/>
      <c r="F710" s="40"/>
      <c r="G710" s="39"/>
      <c r="H710" s="41" t="s">
        <v>79</v>
      </c>
      <c r="I710" s="48" t="s">
        <v>1940</v>
      </c>
      <c r="J710" s="42" t="str">
        <f>IFERROR(__xludf.DUMMYFUNCTION("GOOGLETRANSLATE(I710,""en"",""pl"")"),"Osłona kopułki dymnej do QNP-6250H/6320H")</f>
        <v>Osłona kopułki dymnej do QNP-6250H/6320H</v>
      </c>
      <c r="K710" s="43" t="s">
        <v>21</v>
      </c>
      <c r="L710" s="44">
        <v>105.0</v>
      </c>
      <c r="M710" s="8"/>
      <c r="N710" s="45" t="s">
        <v>22</v>
      </c>
      <c r="O710" s="97"/>
      <c r="P710" s="36"/>
      <c r="Q710" s="35"/>
      <c r="R710" s="68"/>
      <c r="S710" s="68"/>
      <c r="T710" s="68"/>
      <c r="U710" s="35"/>
      <c r="V710" s="35"/>
      <c r="W710" s="35"/>
      <c r="X710" s="35"/>
      <c r="Y710" s="35"/>
      <c r="Z710" s="35"/>
      <c r="AA710" s="35"/>
      <c r="AB710" s="35"/>
      <c r="AC710" s="60"/>
      <c r="AD710" s="85"/>
      <c r="AE710" s="85"/>
      <c r="AF710" s="85"/>
      <c r="AG710" s="85"/>
      <c r="AH710" s="85"/>
      <c r="AI710" s="85"/>
      <c r="AJ710" s="85"/>
      <c r="AK710" s="85"/>
      <c r="AL710" s="85"/>
      <c r="AM710" s="85"/>
      <c r="AN710" s="85"/>
      <c r="AO710" s="85"/>
      <c r="AP710" s="85"/>
    </row>
    <row r="711" ht="79.5" customHeight="1">
      <c r="A711" s="29"/>
      <c r="B711" s="38" t="s">
        <v>23</v>
      </c>
      <c r="C711" s="39" t="s">
        <v>1941</v>
      </c>
      <c r="D711" s="40" t="s">
        <v>1935</v>
      </c>
      <c r="E711" s="118"/>
      <c r="F711" s="40"/>
      <c r="G711" s="39"/>
      <c r="H711" s="41" t="s">
        <v>79</v>
      </c>
      <c r="I711" s="48" t="s">
        <v>1942</v>
      </c>
      <c r="J711" s="42" t="str">
        <f>IFERROR(__xludf.DUMMYFUNCTION("GOOGLETRANSLATE(I711,""en"",""pl"")"),"Osłona kopułki dymnej kompatybilna z XNP-C7310R i XNP-C9310R")</f>
        <v>Osłona kopułki dymnej kompatybilna z XNP-C7310R i XNP-C9310R</v>
      </c>
      <c r="K711" s="43" t="s">
        <v>21</v>
      </c>
      <c r="L711" s="44">
        <v>133.0</v>
      </c>
      <c r="M711" s="8"/>
      <c r="N711" s="45" t="s">
        <v>22</v>
      </c>
      <c r="O711" s="97"/>
      <c r="P711" s="36"/>
      <c r="Q711" s="35"/>
      <c r="R711" s="68"/>
      <c r="S711" s="68"/>
      <c r="T711" s="68"/>
      <c r="U711" s="35"/>
      <c r="V711" s="35"/>
      <c r="W711" s="35"/>
      <c r="X711" s="35"/>
      <c r="Y711" s="35"/>
      <c r="Z711" s="35"/>
      <c r="AA711" s="35"/>
      <c r="AB711" s="35"/>
      <c r="AC711" s="60"/>
      <c r="AD711" s="85"/>
      <c r="AE711" s="85"/>
      <c r="AF711" s="85"/>
      <c r="AG711" s="85"/>
      <c r="AH711" s="85"/>
      <c r="AI711" s="85"/>
      <c r="AJ711" s="85"/>
      <c r="AK711" s="85"/>
      <c r="AL711" s="85"/>
      <c r="AM711" s="85"/>
      <c r="AN711" s="85"/>
      <c r="AO711" s="85"/>
      <c r="AP711" s="85"/>
    </row>
    <row r="712" ht="79.5" customHeight="1">
      <c r="A712" s="29"/>
      <c r="B712" s="38" t="s">
        <v>23</v>
      </c>
      <c r="C712" s="39" t="s">
        <v>1943</v>
      </c>
      <c r="D712" s="40" t="s">
        <v>1935</v>
      </c>
      <c r="E712" s="118"/>
      <c r="F712" s="40"/>
      <c r="G712" s="39"/>
      <c r="H712" s="41" t="s">
        <v>79</v>
      </c>
      <c r="I712" s="48" t="s">
        <v>1944</v>
      </c>
      <c r="J712" s="42" t="str">
        <f>IFERROR(__xludf.DUMMYFUNCTION("GOOGLETRANSLATE(I712,""en"",""pl"")"),"Osłona kopułki przydymionej do modeli SNV-8081R, SNV-8080, SNV-5084/6084/7084, SNV-5084R/6084R/7084R, SCV-6081R, XNV-6080/R, XNV-8080R")</f>
        <v>Osłona kopułki przydymionej do modeli SNV-8081R, SNV-8080, SNV-5084/6084/7084, SNV-5084R/6084R/7084R, SCV-6081R, XNV-6080/R, XNV-8080R</v>
      </c>
      <c r="K712" s="43" t="s">
        <v>21</v>
      </c>
      <c r="L712" s="44">
        <v>64.0</v>
      </c>
      <c r="M712" s="8"/>
      <c r="N712" s="45" t="s">
        <v>22</v>
      </c>
      <c r="O712" s="97"/>
      <c r="P712" s="36"/>
      <c r="Q712" s="35"/>
      <c r="R712" s="68"/>
      <c r="S712" s="68"/>
      <c r="T712" s="68"/>
      <c r="U712" s="35"/>
      <c r="V712" s="35"/>
      <c r="W712" s="35"/>
      <c r="X712" s="35"/>
      <c r="Y712" s="35"/>
      <c r="Z712" s="35"/>
      <c r="AA712" s="35"/>
      <c r="AB712" s="35"/>
      <c r="AC712" s="60"/>
      <c r="AD712" s="85"/>
      <c r="AE712" s="85"/>
      <c r="AF712" s="85"/>
      <c r="AG712" s="85"/>
      <c r="AH712" s="85"/>
      <c r="AI712" s="85"/>
      <c r="AJ712" s="85"/>
      <c r="AK712" s="85"/>
      <c r="AL712" s="85"/>
      <c r="AM712" s="85"/>
      <c r="AN712" s="85"/>
      <c r="AO712" s="85"/>
      <c r="AP712" s="85"/>
    </row>
    <row r="713" ht="79.5" customHeight="1">
      <c r="A713" s="29"/>
      <c r="B713" s="38" t="s">
        <v>23</v>
      </c>
      <c r="C713" s="39" t="s">
        <v>1945</v>
      </c>
      <c r="D713" s="40" t="s">
        <v>1935</v>
      </c>
      <c r="E713" s="118"/>
      <c r="F713" s="40"/>
      <c r="G713" s="39"/>
      <c r="H713" s="41" t="s">
        <v>79</v>
      </c>
      <c r="I713" s="48" t="s">
        <v>1946</v>
      </c>
      <c r="J713" s="42" t="str">
        <f>IFERROR(__xludf.DUMMYFUNCTION("GOOGLETRANSLATE(I713,""en"",""pl"")"),"Osłona kopułki przydymionej do XNV- 6010/6020/ 8020R/8030R/8040R")</f>
        <v>Osłona kopułki przydymionej do XNV- 6010/6020/ 8020R/8030R/8040R</v>
      </c>
      <c r="K713" s="43" t="s">
        <v>21</v>
      </c>
      <c r="L713" s="44">
        <v>23.0</v>
      </c>
      <c r="M713" s="8"/>
      <c r="N713" s="45" t="s">
        <v>22</v>
      </c>
      <c r="O713" s="97"/>
      <c r="P713" s="36"/>
      <c r="Q713" s="35"/>
      <c r="R713" s="68"/>
      <c r="S713" s="68"/>
      <c r="T713" s="68"/>
      <c r="U713" s="35"/>
      <c r="V713" s="35"/>
      <c r="W713" s="35"/>
      <c r="X713" s="35"/>
      <c r="Y713" s="35"/>
      <c r="Z713" s="35"/>
      <c r="AA713" s="35"/>
      <c r="AB713" s="35"/>
      <c r="AC713" s="60"/>
      <c r="AD713" s="85"/>
      <c r="AE713" s="85"/>
      <c r="AF713" s="85"/>
      <c r="AG713" s="85"/>
      <c r="AH713" s="85"/>
      <c r="AI713" s="85"/>
      <c r="AJ713" s="85"/>
      <c r="AK713" s="85"/>
      <c r="AL713" s="85"/>
      <c r="AM713" s="85"/>
      <c r="AN713" s="85"/>
      <c r="AO713" s="85"/>
      <c r="AP713" s="85"/>
    </row>
    <row r="714" ht="79.5" customHeight="1">
      <c r="A714" s="29"/>
      <c r="B714" s="38" t="s">
        <v>23</v>
      </c>
      <c r="C714" s="39" t="s">
        <v>1947</v>
      </c>
      <c r="D714" s="40" t="s">
        <v>1935</v>
      </c>
      <c r="E714" s="118"/>
      <c r="F714" s="40"/>
      <c r="G714" s="39"/>
      <c r="H714" s="41" t="s">
        <v>79</v>
      </c>
      <c r="I714" s="48" t="s">
        <v>1948</v>
      </c>
      <c r="J714" s="42" t="str">
        <f>IFERROR(__xludf.DUMMYFUNCTION("GOOGLETRANSLATE(I714,""en"",""pl"")"),"Osłona kopułki przydymionej do QNV- 6010R/6020R/6030R/ 7010R/7020R/7030R")</f>
        <v>Osłona kopułki przydymionej do QNV- 6010R/6020R/6030R/ 7010R/7020R/7030R</v>
      </c>
      <c r="K714" s="43" t="s">
        <v>21</v>
      </c>
      <c r="L714" s="44">
        <v>23.0</v>
      </c>
      <c r="M714" s="8"/>
      <c r="N714" s="45" t="s">
        <v>22</v>
      </c>
      <c r="O714" s="97"/>
      <c r="P714" s="36"/>
      <c r="Q714" s="35"/>
      <c r="R714" s="68"/>
      <c r="S714" s="68"/>
      <c r="T714" s="68"/>
      <c r="U714" s="35"/>
      <c r="V714" s="35"/>
      <c r="W714" s="35"/>
      <c r="X714" s="35"/>
      <c r="Y714" s="35"/>
      <c r="Z714" s="35"/>
      <c r="AA714" s="35"/>
      <c r="AB714" s="35"/>
      <c r="AC714" s="60"/>
      <c r="AD714" s="85"/>
      <c r="AE714" s="85"/>
      <c r="AF714" s="85"/>
      <c r="AG714" s="85"/>
      <c r="AH714" s="85"/>
      <c r="AI714" s="85"/>
      <c r="AJ714" s="85"/>
      <c r="AK714" s="85"/>
      <c r="AL714" s="85"/>
      <c r="AM714" s="85"/>
      <c r="AN714" s="85"/>
      <c r="AO714" s="85"/>
      <c r="AP714" s="85"/>
    </row>
    <row r="715" ht="79.5" customHeight="1">
      <c r="A715" s="29"/>
      <c r="B715" s="38" t="s">
        <v>23</v>
      </c>
      <c r="C715" s="39" t="s">
        <v>1949</v>
      </c>
      <c r="D715" s="40" t="s">
        <v>1935</v>
      </c>
      <c r="E715" s="118"/>
      <c r="F715" s="40"/>
      <c r="G715" s="39"/>
      <c r="H715" s="41" t="s">
        <v>79</v>
      </c>
      <c r="I715" s="48" t="s">
        <v>1950</v>
      </c>
      <c r="J715" s="42" t="str">
        <f>IFERROR(__xludf.DUMMYFUNCTION("GOOGLETRANSLATE(I715,""en"",""pl"")"),"Kopuła dymna kompatybilna z QNV-C8011R/C8012/C9011R")</f>
        <v>Kopuła dymna kompatybilna z QNV-C8011R/C8012/C9011R</v>
      </c>
      <c r="K715" s="43" t="s">
        <v>21</v>
      </c>
      <c r="L715" s="44">
        <v>40.0</v>
      </c>
      <c r="M715" s="8"/>
      <c r="N715" s="45" t="s">
        <v>22</v>
      </c>
      <c r="O715" s="97"/>
      <c r="P715" s="36"/>
      <c r="Q715" s="35"/>
      <c r="R715" s="68"/>
      <c r="S715" s="68"/>
      <c r="T715" s="68"/>
      <c r="U715" s="35"/>
      <c r="V715" s="35"/>
      <c r="W715" s="35"/>
      <c r="X715" s="35"/>
      <c r="Y715" s="35"/>
      <c r="Z715" s="35"/>
      <c r="AA715" s="35"/>
      <c r="AB715" s="35"/>
      <c r="AC715" s="60"/>
      <c r="AD715" s="85"/>
      <c r="AE715" s="85"/>
      <c r="AF715" s="85"/>
      <c r="AG715" s="85"/>
      <c r="AH715" s="85"/>
      <c r="AI715" s="85"/>
      <c r="AJ715" s="85"/>
      <c r="AK715" s="85"/>
      <c r="AL715" s="85"/>
      <c r="AM715" s="85"/>
      <c r="AN715" s="85"/>
      <c r="AO715" s="85"/>
      <c r="AP715" s="85"/>
    </row>
    <row r="716" ht="79.5" customHeight="1">
      <c r="A716" s="29"/>
      <c r="B716" s="38" t="s">
        <v>23</v>
      </c>
      <c r="C716" s="39" t="s">
        <v>1951</v>
      </c>
      <c r="D716" s="40" t="s">
        <v>1935</v>
      </c>
      <c r="E716" s="118"/>
      <c r="F716" s="40"/>
      <c r="G716" s="39"/>
      <c r="H716" s="41" t="s">
        <v>79</v>
      </c>
      <c r="I716" s="48" t="s">
        <v>1952</v>
      </c>
      <c r="J716" s="42" t="str">
        <f>IFERROR(__xludf.DUMMYFUNCTION("GOOGLETRANSLATE(I716,""en"",""pl"")"),"Osłona kopułki przydymionej kompatybilna z XNV-6012M/6022RM")</f>
        <v>Osłona kopułki przydymionej kompatybilna z XNV-6012M/6022RM</v>
      </c>
      <c r="K716" s="43" t="s">
        <v>21</v>
      </c>
      <c r="L716" s="44">
        <v>35.0</v>
      </c>
      <c r="M716" s="8"/>
      <c r="N716" s="45" t="s">
        <v>22</v>
      </c>
      <c r="O716" s="97"/>
      <c r="P716" s="36"/>
      <c r="Q716" s="35"/>
      <c r="R716" s="68"/>
      <c r="S716" s="68"/>
      <c r="T716" s="68"/>
      <c r="U716" s="35"/>
      <c r="V716" s="35"/>
      <c r="W716" s="35"/>
      <c r="X716" s="35"/>
      <c r="Y716" s="35"/>
      <c r="Z716" s="35"/>
      <c r="AA716" s="35"/>
      <c r="AB716" s="35"/>
      <c r="AC716" s="60"/>
      <c r="AD716" s="85"/>
      <c r="AE716" s="85"/>
      <c r="AF716" s="85"/>
      <c r="AG716" s="85"/>
      <c r="AH716" s="85"/>
      <c r="AI716" s="85"/>
      <c r="AJ716" s="85"/>
      <c r="AK716" s="85"/>
      <c r="AL716" s="85"/>
      <c r="AM716" s="85"/>
      <c r="AN716" s="85"/>
      <c r="AO716" s="85"/>
      <c r="AP716" s="85"/>
    </row>
    <row r="717" ht="79.5" customHeight="1">
      <c r="A717" s="29"/>
      <c r="B717" s="38" t="s">
        <v>23</v>
      </c>
      <c r="C717" s="39" t="s">
        <v>1953</v>
      </c>
      <c r="D717" s="40" t="s">
        <v>1954</v>
      </c>
      <c r="E717" s="118"/>
      <c r="F717" s="40"/>
      <c r="G717" s="39"/>
      <c r="H717" s="41" t="s">
        <v>79</v>
      </c>
      <c r="I717" s="48" t="s">
        <v>1955</v>
      </c>
      <c r="J717" s="42" t="str">
        <f>IFERROR(__xludf.DUMMYFUNCTION("GOOGLETRANSLATE(I717,""en"",""pl"")"),"Kopułka dymna do modeli TNV-C8014RM i TNV-C8034RM")</f>
        <v>Kopułka dymna do modeli TNV-C8014RM i TNV-C8034RM</v>
      </c>
      <c r="K717" s="43" t="s">
        <v>21</v>
      </c>
      <c r="L717" s="44">
        <v>55.0</v>
      </c>
      <c r="M717" s="8"/>
      <c r="N717" s="45" t="s">
        <v>22</v>
      </c>
      <c r="O717" s="97"/>
      <c r="P717" s="36"/>
      <c r="Q717" s="35"/>
      <c r="R717" s="68"/>
      <c r="S717" s="68"/>
      <c r="T717" s="68"/>
      <c r="U717" s="35"/>
      <c r="V717" s="35"/>
      <c r="W717" s="35"/>
      <c r="X717" s="35"/>
      <c r="Y717" s="35"/>
      <c r="Z717" s="35"/>
      <c r="AA717" s="35"/>
      <c r="AB717" s="35"/>
      <c r="AC717" s="60"/>
      <c r="AD717" s="85"/>
      <c r="AE717" s="85"/>
      <c r="AF717" s="85"/>
      <c r="AG717" s="85"/>
      <c r="AH717" s="85"/>
      <c r="AI717" s="85"/>
      <c r="AJ717" s="85"/>
      <c r="AK717" s="85"/>
      <c r="AL717" s="85"/>
      <c r="AM717" s="85"/>
      <c r="AN717" s="85"/>
      <c r="AO717" s="85"/>
      <c r="AP717" s="85"/>
    </row>
    <row r="718" ht="79.5" customHeight="1">
      <c r="A718" s="29"/>
      <c r="B718" s="38" t="s">
        <v>23</v>
      </c>
      <c r="C718" s="39" t="s">
        <v>1956</v>
      </c>
      <c r="D718" s="40" t="s">
        <v>1957</v>
      </c>
      <c r="E718" s="118"/>
      <c r="F718" s="40"/>
      <c r="G718" s="39"/>
      <c r="H718" s="41" t="s">
        <v>79</v>
      </c>
      <c r="I718" s="48" t="s">
        <v>1958</v>
      </c>
      <c r="J718" s="42" t="str">
        <f>IFERROR(__xludf.DUMMYFUNCTION("GOOGLETRANSLATE(I718,""en"",""pl"")"),"Przezroczysta kopułka do TNV-C8014RM i TNV-C8034RM")</f>
        <v>Przezroczysta kopułka do TNV-C8014RM i TNV-C8034RM</v>
      </c>
      <c r="K718" s="43" t="s">
        <v>21</v>
      </c>
      <c r="L718" s="44">
        <v>55.0</v>
      </c>
      <c r="M718" s="8"/>
      <c r="N718" s="45" t="s">
        <v>22</v>
      </c>
      <c r="O718" s="97"/>
      <c r="P718" s="36"/>
      <c r="Q718" s="35"/>
      <c r="R718" s="68"/>
      <c r="S718" s="68"/>
      <c r="T718" s="68"/>
      <c r="U718" s="35"/>
      <c r="V718" s="35"/>
      <c r="W718" s="35"/>
      <c r="X718" s="35"/>
      <c r="Y718" s="35"/>
      <c r="Z718" s="35"/>
      <c r="AA718" s="35"/>
      <c r="AB718" s="35"/>
      <c r="AC718" s="60"/>
      <c r="AD718" s="85"/>
      <c r="AE718" s="85"/>
      <c r="AF718" s="85"/>
      <c r="AG718" s="85"/>
      <c r="AH718" s="85"/>
      <c r="AI718" s="85"/>
      <c r="AJ718" s="85"/>
      <c r="AK718" s="85"/>
      <c r="AL718" s="85"/>
      <c r="AM718" s="85"/>
      <c r="AN718" s="85"/>
      <c r="AO718" s="85"/>
      <c r="AP718" s="85"/>
    </row>
    <row r="719" ht="79.5" customHeight="1">
      <c r="A719" s="29"/>
      <c r="B719" s="38" t="s">
        <v>23</v>
      </c>
      <c r="C719" s="39" t="s">
        <v>1959</v>
      </c>
      <c r="D719" s="40" t="s">
        <v>1935</v>
      </c>
      <c r="E719" s="118"/>
      <c r="F719" s="40"/>
      <c r="G719" s="39"/>
      <c r="H719" s="41" t="s">
        <v>79</v>
      </c>
      <c r="I719" s="48" t="s">
        <v>1960</v>
      </c>
      <c r="J719" s="42" t="str">
        <f>IFERROR(__xludf.DUMMYFUNCTION("GOOGLETRANSLATE(I719,""en"",""pl"")"),"Osłona kopułki przydymionej do QNV-6070R/7080R")</f>
        <v>Osłona kopułki przydymionej do QNV-6070R/7080R</v>
      </c>
      <c r="K719" s="43" t="s">
        <v>21</v>
      </c>
      <c r="L719" s="44">
        <v>33.0</v>
      </c>
      <c r="M719" s="8"/>
      <c r="N719" s="45" t="s">
        <v>22</v>
      </c>
      <c r="O719" s="97"/>
      <c r="P719" s="36"/>
      <c r="Q719" s="35"/>
      <c r="R719" s="68"/>
      <c r="S719" s="68"/>
      <c r="T719" s="68"/>
      <c r="U719" s="35"/>
      <c r="V719" s="35"/>
      <c r="W719" s="35"/>
      <c r="X719" s="35"/>
      <c r="Y719" s="35"/>
      <c r="Z719" s="35"/>
      <c r="AA719" s="35"/>
      <c r="AB719" s="35"/>
      <c r="AC719" s="60"/>
      <c r="AD719" s="85"/>
      <c r="AE719" s="85"/>
      <c r="AF719" s="85"/>
      <c r="AG719" s="85"/>
      <c r="AH719" s="85"/>
      <c r="AI719" s="85"/>
      <c r="AJ719" s="85"/>
      <c r="AK719" s="85"/>
      <c r="AL719" s="85"/>
      <c r="AM719" s="85"/>
      <c r="AN719" s="85"/>
      <c r="AO719" s="85"/>
      <c r="AP719" s="85"/>
    </row>
    <row r="720" ht="79.5" customHeight="1">
      <c r="A720" s="29"/>
      <c r="B720" s="38" t="s">
        <v>23</v>
      </c>
      <c r="C720" s="39" t="s">
        <v>1961</v>
      </c>
      <c r="D720" s="40" t="s">
        <v>1935</v>
      </c>
      <c r="E720" s="118"/>
      <c r="F720" s="40"/>
      <c r="G720" s="39"/>
      <c r="H720" s="41" t="s">
        <v>79</v>
      </c>
      <c r="I720" s="48" t="s">
        <v>1962</v>
      </c>
      <c r="J720" s="42" t="str">
        <f>IFERROR(__xludf.DUMMYFUNCTION("GOOGLETRANSLATE(I720,""en"",""pl"")"),"Kopuła dymna do Q AI V/F, kompatybilna z QNV-C6083R/C8083R/C9083R, biała")</f>
        <v>Kopuła dymna do Q AI V/F, kompatybilna z QNV-C6083R/C8083R/C9083R, biała</v>
      </c>
      <c r="K720" s="43" t="s">
        <v>21</v>
      </c>
      <c r="L720" s="44">
        <v>85.0</v>
      </c>
      <c r="M720" s="8"/>
      <c r="N720" s="45" t="s">
        <v>22</v>
      </c>
      <c r="O720" s="97"/>
      <c r="P720" s="35"/>
      <c r="Q720" s="35"/>
      <c r="R720" s="68"/>
      <c r="S720" s="68"/>
      <c r="T720" s="68"/>
      <c r="U720" s="35"/>
      <c r="V720" s="35"/>
      <c r="W720" s="35"/>
      <c r="X720" s="35"/>
      <c r="Y720" s="35"/>
      <c r="Z720" s="35"/>
      <c r="AA720" s="35"/>
      <c r="AB720" s="35"/>
      <c r="AC720" s="101"/>
      <c r="AD720" s="98"/>
      <c r="AE720" s="98"/>
      <c r="AF720" s="98"/>
      <c r="AG720" s="98"/>
      <c r="AH720" s="98"/>
      <c r="AI720" s="98"/>
      <c r="AJ720" s="98"/>
      <c r="AK720" s="98"/>
      <c r="AL720" s="98"/>
      <c r="AM720" s="98"/>
      <c r="AN720" s="98"/>
      <c r="AO720" s="98"/>
      <c r="AP720" s="98"/>
    </row>
    <row r="721" ht="79.5" customHeight="1">
      <c r="A721" s="29"/>
      <c r="B721" s="38" t="s">
        <v>23</v>
      </c>
      <c r="C721" s="39" t="s">
        <v>1963</v>
      </c>
      <c r="D721" s="40" t="s">
        <v>1935</v>
      </c>
      <c r="E721" s="118"/>
      <c r="F721" s="40"/>
      <c r="G721" s="39"/>
      <c r="H721" s="41" t="s">
        <v>79</v>
      </c>
      <c r="I721" s="48" t="s">
        <v>1964</v>
      </c>
      <c r="J721" s="42" t="str">
        <f>IFERROR(__xludf.DUMMYFUNCTION("GOOGLETRANSLATE(I721,""en"",""pl"")"),"Osłona kopułki przyciemnianej do XNV-6081/6081R/8081R/6081RE/8081RE, PNV-A9081R, biała")</f>
        <v>Osłona kopułki przyciemnianej do XNV-6081/6081R/8081R/6081RE/8081RE, PNV-A9081R, biała</v>
      </c>
      <c r="K721" s="43" t="s">
        <v>21</v>
      </c>
      <c r="L721" s="44">
        <v>74.0</v>
      </c>
      <c r="M721" s="8"/>
      <c r="N721" s="45" t="s">
        <v>22</v>
      </c>
      <c r="O721" s="97"/>
      <c r="P721" s="35"/>
      <c r="Q721" s="35"/>
      <c r="R721" s="68"/>
      <c r="S721" s="68"/>
      <c r="T721" s="68"/>
      <c r="U721" s="35"/>
      <c r="V721" s="35"/>
      <c r="W721" s="35"/>
      <c r="X721" s="35"/>
      <c r="Y721" s="35"/>
      <c r="Z721" s="35"/>
      <c r="AA721" s="35"/>
      <c r="AB721" s="35"/>
      <c r="AC721" s="101"/>
      <c r="AD721" s="98"/>
      <c r="AE721" s="98"/>
      <c r="AF721" s="98"/>
      <c r="AG721" s="98"/>
      <c r="AH721" s="98"/>
      <c r="AI721" s="98"/>
      <c r="AJ721" s="98"/>
      <c r="AK721" s="98"/>
      <c r="AL721" s="98"/>
      <c r="AM721" s="98"/>
      <c r="AN721" s="98"/>
      <c r="AO721" s="98"/>
      <c r="AP721" s="98"/>
    </row>
    <row r="722" ht="79.5" customHeight="1">
      <c r="A722" s="29"/>
      <c r="B722" s="38" t="s">
        <v>23</v>
      </c>
      <c r="C722" s="39" t="s">
        <v>1965</v>
      </c>
      <c r="D722" s="40" t="s">
        <v>1935</v>
      </c>
      <c r="E722" s="118"/>
      <c r="F722" s="40"/>
      <c r="G722" s="39"/>
      <c r="H722" s="41" t="s">
        <v>79</v>
      </c>
      <c r="I722" s="48" t="s">
        <v>1966</v>
      </c>
      <c r="J722" s="42" t="str">
        <f>IFERROR(__xludf.DUMMYFUNCTION("GOOGLETRANSLATE(I722,""en"",""pl"")"),"Osłona kopułki dymnej do PNV-A7082RZ, PNV-A9082RZ, biała")</f>
        <v>Osłona kopułki dymnej do PNV-A7082RZ, PNV-A9082RZ, biała</v>
      </c>
      <c r="K722" s="43" t="s">
        <v>21</v>
      </c>
      <c r="L722" s="44">
        <v>80.0</v>
      </c>
      <c r="M722" s="8"/>
      <c r="N722" s="45" t="s">
        <v>22</v>
      </c>
      <c r="O722" s="97"/>
      <c r="P722" s="35"/>
      <c r="Q722" s="35"/>
      <c r="R722" s="68"/>
      <c r="S722" s="68"/>
      <c r="T722" s="68"/>
      <c r="U722" s="35"/>
      <c r="V722" s="35"/>
      <c r="W722" s="35"/>
      <c r="X722" s="35"/>
      <c r="Y722" s="35"/>
      <c r="Z722" s="35"/>
      <c r="AA722" s="35"/>
      <c r="AB722" s="35"/>
      <c r="AC722" s="101"/>
      <c r="AD722" s="98"/>
      <c r="AE722" s="98"/>
      <c r="AF722" s="98"/>
      <c r="AG722" s="98"/>
      <c r="AH722" s="98"/>
      <c r="AI722" s="98"/>
      <c r="AJ722" s="98"/>
      <c r="AK722" s="98"/>
      <c r="AL722" s="98"/>
      <c r="AM722" s="98"/>
      <c r="AN722" s="98"/>
      <c r="AO722" s="98"/>
      <c r="AP722" s="98"/>
    </row>
    <row r="723" ht="79.5" customHeight="1">
      <c r="A723" s="29"/>
      <c r="B723" s="38" t="s">
        <v>23</v>
      </c>
      <c r="C723" s="39" t="s">
        <v>1967</v>
      </c>
      <c r="D723" s="40" t="s">
        <v>1935</v>
      </c>
      <c r="E723" s="118"/>
      <c r="F723" s="40"/>
      <c r="G723" s="39"/>
      <c r="H723" s="41" t="s">
        <v>79</v>
      </c>
      <c r="I723" s="48" t="s">
        <v>1968</v>
      </c>
      <c r="J723" s="42" t="str">
        <f>IFERROR(__xludf.DUMMYFUNCTION("GOOGLETRANSLATE(I723,""en"",""pl"")"),"Osłona kopułki przyciemnianej do modeli XNV-C9083R, XNV-C8083R, XNV-C7083R, XNV-C6083R, biała
")</f>
        <v>Osłona kopułki przyciemnianej do modeli XNV-C9083R, XNV-C8083R, XNV-C7083R, XNV-C6083R, biała
</v>
      </c>
      <c r="K723" s="43" t="s">
        <v>21</v>
      </c>
      <c r="L723" s="44">
        <v>85.0</v>
      </c>
      <c r="M723" s="8"/>
      <c r="N723" s="45" t="s">
        <v>22</v>
      </c>
      <c r="O723" s="97"/>
      <c r="P723" s="36"/>
      <c r="Q723" s="35"/>
      <c r="R723" s="68"/>
      <c r="S723" s="68"/>
      <c r="T723" s="68"/>
      <c r="U723" s="35"/>
      <c r="V723" s="35"/>
      <c r="W723" s="35"/>
      <c r="X723" s="35"/>
      <c r="Y723" s="35"/>
      <c r="Z723" s="35"/>
      <c r="AA723" s="35"/>
      <c r="AB723" s="35"/>
      <c r="AC723" s="60"/>
      <c r="AD723" s="85"/>
      <c r="AE723" s="85"/>
      <c r="AF723" s="85"/>
      <c r="AG723" s="85"/>
      <c r="AH723" s="85"/>
      <c r="AI723" s="85"/>
      <c r="AJ723" s="85"/>
      <c r="AK723" s="85"/>
      <c r="AL723" s="85"/>
      <c r="AM723" s="85"/>
      <c r="AN723" s="85"/>
      <c r="AO723" s="85"/>
      <c r="AP723" s="85"/>
    </row>
    <row r="724" ht="79.5" customHeight="1">
      <c r="A724" s="29"/>
      <c r="B724" s="38" t="s">
        <v>23</v>
      </c>
      <c r="C724" s="39" t="s">
        <v>1969</v>
      </c>
      <c r="D724" s="40" t="s">
        <v>1970</v>
      </c>
      <c r="E724" s="118"/>
      <c r="F724" s="40"/>
      <c r="G724" s="39"/>
      <c r="H724" s="41" t="s">
        <v>79</v>
      </c>
      <c r="I724" s="48" t="s">
        <v>1971</v>
      </c>
      <c r="J724" s="42" t="str">
        <f>IFERROR(__xludf.DUMMYFUNCTION("GOOGLETRANSLATE(I724,""en"",""pl"")"),"Tylna obudowa kopułki Vandal, Materiał: [Górna pokrywa] Aluminium + PC / [Kopułka kopułki] Poliwęglan powlekany twardo, Kolor: [Górna pokrywa] Biały / [Kopułka kopułki] Przezroczysty, przyciemniany, Obsługiwane produkty: XNV-6083RZ/8083RZ/9083RZ/8083Z/608"&amp;"3Z")</f>
        <v>Tylna obudowa kopułki Vandal, Materiał: [Górna pokrywa] Aluminium + PC / [Kopułka kopułki] Poliwęglan powlekany twardo, Kolor: [Górna pokrywa] Biały / [Kopułka kopułki] Przezroczysty, przyciemniany, Obsługiwane produkty: XNV-6083RZ/8083RZ/9083RZ/8083Z/6083Z</v>
      </c>
      <c r="K724" s="43" t="s">
        <v>21</v>
      </c>
      <c r="L724" s="44">
        <v>80.0</v>
      </c>
      <c r="M724" s="8"/>
      <c r="N724" s="45" t="s">
        <v>22</v>
      </c>
      <c r="O724" s="97"/>
      <c r="P724" s="36"/>
      <c r="Q724" s="35"/>
      <c r="R724" s="68"/>
      <c r="S724" s="68"/>
      <c r="T724" s="68"/>
      <c r="U724" s="35"/>
      <c r="V724" s="35"/>
      <c r="W724" s="35"/>
      <c r="X724" s="35"/>
      <c r="Y724" s="35"/>
      <c r="Z724" s="35"/>
      <c r="AA724" s="35"/>
      <c r="AB724" s="35"/>
      <c r="AC724" s="60"/>
      <c r="AD724" s="85"/>
      <c r="AE724" s="85"/>
      <c r="AF724" s="85"/>
      <c r="AG724" s="85"/>
      <c r="AH724" s="85"/>
      <c r="AI724" s="85"/>
      <c r="AJ724" s="85"/>
      <c r="AK724" s="85"/>
      <c r="AL724" s="85"/>
      <c r="AM724" s="85"/>
      <c r="AN724" s="85"/>
      <c r="AO724" s="85"/>
      <c r="AP724" s="85"/>
    </row>
    <row r="725" ht="79.5" customHeight="1">
      <c r="A725" s="29"/>
      <c r="B725" s="38" t="s">
        <v>23</v>
      </c>
      <c r="C725" s="39" t="s">
        <v>1972</v>
      </c>
      <c r="D725" s="40" t="s">
        <v>1935</v>
      </c>
      <c r="E725" s="118"/>
      <c r="F725" s="40"/>
      <c r="G725" s="39"/>
      <c r="H725" s="41" t="s">
        <v>79</v>
      </c>
      <c r="I725" s="48" t="s">
        <v>1973</v>
      </c>
      <c r="J725" s="42" t="str">
        <f>IFERROR(__xludf.DUMMYFUNCTION("GOOGLETRANSLATE(I725,""en"",""pl"")"),"Osłona kopułki przyciemnianej do XND-6081F/6081RF/8081RF, PND-A9081RF, biała")</f>
        <v>Osłona kopułki przyciemnianej do XND-6081F/6081RF/8081RF, PND-A9081RF, biała</v>
      </c>
      <c r="K725" s="43" t="s">
        <v>21</v>
      </c>
      <c r="L725" s="44">
        <v>69.0</v>
      </c>
      <c r="M725" s="8"/>
      <c r="N725" s="45" t="s">
        <v>22</v>
      </c>
      <c r="O725" s="97"/>
      <c r="P725" s="36"/>
      <c r="Q725" s="35"/>
      <c r="R725" s="68"/>
      <c r="S725" s="68"/>
      <c r="T725" s="68"/>
      <c r="U725" s="35"/>
      <c r="V725" s="35"/>
      <c r="W725" s="35"/>
      <c r="X725" s="35"/>
      <c r="Y725" s="35"/>
      <c r="Z725" s="35"/>
      <c r="AA725" s="35"/>
      <c r="AB725" s="35"/>
      <c r="AC725" s="60"/>
      <c r="AD725" s="85"/>
      <c r="AE725" s="85"/>
      <c r="AF725" s="85"/>
      <c r="AG725" s="85"/>
      <c r="AH725" s="85"/>
      <c r="AI725" s="85"/>
      <c r="AJ725" s="85"/>
      <c r="AK725" s="85"/>
      <c r="AL725" s="85"/>
      <c r="AM725" s="85"/>
      <c r="AN725" s="85"/>
      <c r="AO725" s="85"/>
      <c r="AP725" s="85"/>
    </row>
    <row r="726" ht="79.5" customHeight="1">
      <c r="A726" s="29"/>
      <c r="B726" s="38" t="s">
        <v>23</v>
      </c>
      <c r="C726" s="39" t="s">
        <v>1974</v>
      </c>
      <c r="D726" s="40" t="s">
        <v>1935</v>
      </c>
      <c r="E726" s="118"/>
      <c r="F726" s="40"/>
      <c r="G726" s="39"/>
      <c r="H726" s="41" t="s">
        <v>79</v>
      </c>
      <c r="I726" s="48" t="s">
        <v>1975</v>
      </c>
      <c r="J726" s="42" t="str">
        <f>IFERROR(__xludf.DUMMYFUNCTION("GOOGLETRANSLATE(I726,""en"",""pl"")"),"Osłona kopułki przyciemnianej do QNV-6012R/6022R/6032R, QNV-8010R/8020R/8030R, LNV-6012R/6022R/6032R, QNV-6012R1/6022R1/6032R1, biała")</f>
        <v>Osłona kopułki przyciemnianej do QNV-6012R/6022R/6032R, QNV-8010R/8020R/8030R, LNV-6012R/6022R/6032R, QNV-6012R1/6022R1/6032R1, biała</v>
      </c>
      <c r="K726" s="43" t="s">
        <v>21</v>
      </c>
      <c r="L726" s="44">
        <v>24.0</v>
      </c>
      <c r="M726" s="8"/>
      <c r="N726" s="45" t="s">
        <v>22</v>
      </c>
      <c r="O726" s="97"/>
      <c r="P726" s="35"/>
      <c r="Q726" s="35"/>
      <c r="R726" s="68"/>
      <c r="S726" s="68"/>
      <c r="T726" s="68"/>
      <c r="U726" s="35"/>
      <c r="V726" s="35"/>
      <c r="W726" s="35"/>
      <c r="X726" s="35"/>
      <c r="Y726" s="35"/>
      <c r="Z726" s="35"/>
      <c r="AA726" s="35"/>
      <c r="AB726" s="35"/>
      <c r="AC726" s="101"/>
      <c r="AD726" s="98"/>
      <c r="AE726" s="98"/>
      <c r="AF726" s="98"/>
      <c r="AG726" s="98"/>
      <c r="AH726" s="98"/>
      <c r="AI726" s="98"/>
      <c r="AJ726" s="98"/>
      <c r="AK726" s="98"/>
      <c r="AL726" s="98"/>
      <c r="AM726" s="98"/>
      <c r="AN726" s="98"/>
      <c r="AO726" s="98"/>
      <c r="AP726" s="98"/>
    </row>
    <row r="727" ht="79.5" customHeight="1">
      <c r="A727" s="29"/>
      <c r="B727" s="38" t="s">
        <v>23</v>
      </c>
      <c r="C727" s="39" t="s">
        <v>1976</v>
      </c>
      <c r="D727" s="40" t="s">
        <v>1935</v>
      </c>
      <c r="E727" s="118"/>
      <c r="F727" s="40"/>
      <c r="G727" s="39"/>
      <c r="H727" s="41" t="s">
        <v>79</v>
      </c>
      <c r="I727" s="48" t="s">
        <v>1977</v>
      </c>
      <c r="J727" s="42" t="str">
        <f>IFERROR(__xludf.DUMMYFUNCTION("GOOGLETRANSLATE(I727,""en"",""pl"")"),"Osłona kopułki przyciemnianej do QNV-6082R/6082R1/8080R, LNV-6070R/6072R, biała")</f>
        <v>Osłona kopułki przyciemnianej do QNV-6082R/6082R1/8080R, LNV-6070R/6072R, biała</v>
      </c>
      <c r="K727" s="43" t="s">
        <v>21</v>
      </c>
      <c r="L727" s="44">
        <v>33.0</v>
      </c>
      <c r="M727" s="8"/>
      <c r="N727" s="45" t="s">
        <v>22</v>
      </c>
      <c r="O727" s="97"/>
      <c r="P727" s="36"/>
      <c r="Q727" s="35"/>
      <c r="R727" s="68"/>
      <c r="S727" s="68"/>
      <c r="T727" s="68"/>
      <c r="U727" s="35"/>
      <c r="V727" s="35"/>
      <c r="W727" s="35"/>
      <c r="X727" s="35"/>
      <c r="Y727" s="35"/>
      <c r="Z727" s="35"/>
      <c r="AA727" s="35"/>
      <c r="AB727" s="35"/>
      <c r="AC727" s="60"/>
      <c r="AD727" s="85"/>
      <c r="AE727" s="85"/>
      <c r="AF727" s="85"/>
      <c r="AG727" s="85"/>
      <c r="AH727" s="85"/>
      <c r="AI727" s="85"/>
      <c r="AJ727" s="85"/>
      <c r="AK727" s="85"/>
      <c r="AL727" s="85"/>
      <c r="AM727" s="85"/>
      <c r="AN727" s="85"/>
      <c r="AO727" s="85"/>
      <c r="AP727" s="85"/>
    </row>
    <row r="728" ht="79.5" customHeight="1">
      <c r="A728" s="29"/>
      <c r="B728" s="38" t="s">
        <v>23</v>
      </c>
      <c r="C728" s="39" t="s">
        <v>1978</v>
      </c>
      <c r="D728" s="40" t="s">
        <v>1935</v>
      </c>
      <c r="E728" s="118"/>
      <c r="F728" s="40"/>
      <c r="G728" s="39"/>
      <c r="H728" s="41" t="s">
        <v>79</v>
      </c>
      <c r="I728" s="48" t="s">
        <v>1979</v>
      </c>
      <c r="J728" s="42" t="str">
        <f>IFERROR(__xludf.DUMMYFUNCTION("GOOGLETRANSLATE(I728,""en"",""pl"")"),"Osłona kopułki przydymionej do modeli SCD-6083R, SCD-5080, SCD-5082, SCD-5083, SCD-5083R, SND-6011R, SND-L6083R, SND-L5083R, HCD-6080R/6070R")</f>
        <v>Osłona kopułki przydymionej do modeli SCD-6083R, SCD-5080, SCD-5082, SCD-5083, SCD-5083R, SND-6011R, SND-L6083R, SND-L5083R, HCD-6080R/6070R</v>
      </c>
      <c r="K728" s="43" t="s">
        <v>21</v>
      </c>
      <c r="L728" s="44">
        <v>36.0</v>
      </c>
      <c r="M728" s="8"/>
      <c r="N728" s="45" t="s">
        <v>22</v>
      </c>
      <c r="O728" s="97"/>
      <c r="P728" s="36"/>
      <c r="Q728" s="35"/>
      <c r="R728" s="68"/>
      <c r="S728" s="68"/>
      <c r="T728" s="68"/>
      <c r="U728" s="35"/>
      <c r="V728" s="35"/>
      <c r="W728" s="35"/>
      <c r="X728" s="35"/>
      <c r="Y728" s="35"/>
      <c r="Z728" s="35"/>
      <c r="AA728" s="35"/>
      <c r="AB728" s="35"/>
      <c r="AC728" s="60"/>
      <c r="AD728" s="85"/>
      <c r="AE728" s="85"/>
      <c r="AF728" s="85"/>
      <c r="AG728" s="85"/>
      <c r="AH728" s="85"/>
      <c r="AI728" s="85"/>
      <c r="AJ728" s="85"/>
      <c r="AK728" s="85"/>
      <c r="AL728" s="85"/>
      <c r="AM728" s="85"/>
      <c r="AN728" s="85"/>
      <c r="AO728" s="85"/>
      <c r="AP728" s="85"/>
    </row>
    <row r="729" ht="79.5" customHeight="1">
      <c r="A729" s="29"/>
      <c r="B729" s="38" t="s">
        <v>23</v>
      </c>
      <c r="C729" s="39" t="s">
        <v>1980</v>
      </c>
      <c r="D729" s="40" t="s">
        <v>1935</v>
      </c>
      <c r="E729" s="118"/>
      <c r="F729" s="40"/>
      <c r="G729" s="39"/>
      <c r="H729" s="41" t="s">
        <v>79</v>
      </c>
      <c r="I729" s="48" t="s">
        <v>1981</v>
      </c>
      <c r="J729" s="42" t="str">
        <f>IFERROR(__xludf.DUMMYFUNCTION("GOOGLETRANSLATE(I729,""en"",""pl"")"),"Osłona kopułki przydymionej do XND-6010/6020/8020R/8030R/8040R")</f>
        <v>Osłona kopułki przydymionej do XND-6010/6020/8020R/8030R/8040R</v>
      </c>
      <c r="K729" s="43" t="s">
        <v>21</v>
      </c>
      <c r="L729" s="44">
        <v>23.0</v>
      </c>
      <c r="M729" s="8"/>
      <c r="N729" s="45" t="s">
        <v>22</v>
      </c>
      <c r="O729" s="97"/>
      <c r="P729" s="36"/>
      <c r="Q729" s="35"/>
      <c r="R729" s="68"/>
      <c r="S729" s="68"/>
      <c r="T729" s="68"/>
      <c r="U729" s="35"/>
      <c r="V729" s="35"/>
      <c r="W729" s="35"/>
      <c r="X729" s="35"/>
      <c r="Y729" s="35"/>
      <c r="Z729" s="35"/>
      <c r="AA729" s="35"/>
      <c r="AB729" s="35"/>
      <c r="AC729" s="60"/>
      <c r="AD729" s="85"/>
      <c r="AE729" s="85"/>
      <c r="AF729" s="85"/>
      <c r="AG729" s="85"/>
      <c r="AH729" s="85"/>
      <c r="AI729" s="85"/>
      <c r="AJ729" s="85"/>
      <c r="AK729" s="85"/>
      <c r="AL729" s="85"/>
      <c r="AM729" s="85"/>
      <c r="AN729" s="85"/>
      <c r="AO729" s="85"/>
      <c r="AP729" s="85"/>
    </row>
    <row r="730" ht="79.5" customHeight="1">
      <c r="A730" s="29"/>
      <c r="B730" s="38" t="s">
        <v>23</v>
      </c>
      <c r="C730" s="39" t="s">
        <v>1982</v>
      </c>
      <c r="D730" s="40" t="s">
        <v>1935</v>
      </c>
      <c r="E730" s="118"/>
      <c r="F730" s="40"/>
      <c r="G730" s="39"/>
      <c r="H730" s="41" t="s">
        <v>79</v>
      </c>
      <c r="I730" s="48" t="s">
        <v>1983</v>
      </c>
      <c r="J730" s="42" t="str">
        <f>IFERROR(__xludf.DUMMYFUNCTION("GOOGLETRANSLATE(I730,""en"",""pl"")"),"Osłona kopułki przyciemnianej do QND-6010R/6020R/6030R / 7010R/7020R/7030R, biała")</f>
        <v>Osłona kopułki przyciemnianej do QND-6010R/6020R/6030R / 7010R/7020R/7030R, biała</v>
      </c>
      <c r="K730" s="43" t="s">
        <v>21</v>
      </c>
      <c r="L730" s="44">
        <v>23.0</v>
      </c>
      <c r="M730" s="8"/>
      <c r="N730" s="45" t="s">
        <v>22</v>
      </c>
      <c r="O730" s="97"/>
      <c r="P730" s="36"/>
      <c r="Q730" s="35"/>
      <c r="R730" s="68"/>
      <c r="S730" s="68"/>
      <c r="T730" s="68"/>
      <c r="U730" s="35"/>
      <c r="V730" s="35"/>
      <c r="W730" s="35"/>
      <c r="X730" s="35"/>
      <c r="Y730" s="35"/>
      <c r="Z730" s="35"/>
      <c r="AA730" s="35"/>
      <c r="AB730" s="35"/>
      <c r="AC730" s="60"/>
      <c r="AD730" s="85"/>
      <c r="AE730" s="85"/>
      <c r="AF730" s="85"/>
      <c r="AG730" s="85"/>
      <c r="AH730" s="85"/>
      <c r="AI730" s="85"/>
      <c r="AJ730" s="85"/>
      <c r="AK730" s="85"/>
      <c r="AL730" s="85"/>
      <c r="AM730" s="85"/>
      <c r="AN730" s="85"/>
      <c r="AO730" s="85"/>
      <c r="AP730" s="85"/>
    </row>
    <row r="731" ht="79.5" customHeight="1">
      <c r="A731" s="29"/>
      <c r="B731" s="38" t="s">
        <v>23</v>
      </c>
      <c r="C731" s="39" t="s">
        <v>1984</v>
      </c>
      <c r="D731" s="40" t="s">
        <v>1935</v>
      </c>
      <c r="E731" s="118"/>
      <c r="F731" s="40"/>
      <c r="G731" s="39"/>
      <c r="H731" s="41" t="s">
        <v>79</v>
      </c>
      <c r="I731" s="48" t="s">
        <v>1985</v>
      </c>
      <c r="J731" s="42" t="str">
        <f>IFERROR(__xludf.DUMMYFUNCTION("GOOGLETRANSLATE(I731,""en"",""pl"")"),"Osłona kopułki przydymionej do XND-6080V/XND-6080RV/XND-8080RV")</f>
        <v>Osłona kopułki przydymionej do XND-6080V/XND-6080RV/XND-8080RV</v>
      </c>
      <c r="K731" s="43" t="s">
        <v>21</v>
      </c>
      <c r="L731" s="44">
        <v>19.0</v>
      </c>
      <c r="M731" s="8"/>
      <c r="N731" s="45" t="s">
        <v>22</v>
      </c>
      <c r="O731" s="97"/>
      <c r="P731" s="35"/>
      <c r="Q731" s="35"/>
      <c r="R731" s="68"/>
      <c r="S731" s="68"/>
      <c r="T731" s="68"/>
      <c r="U731" s="35"/>
      <c r="V731" s="35"/>
      <c r="W731" s="35"/>
      <c r="X731" s="35"/>
      <c r="Y731" s="35"/>
      <c r="Z731" s="35"/>
      <c r="AA731" s="35"/>
      <c r="AB731" s="35"/>
      <c r="AC731" s="101"/>
      <c r="AD731" s="98"/>
      <c r="AE731" s="98"/>
      <c r="AF731" s="98"/>
      <c r="AG731" s="98"/>
      <c r="AH731" s="98"/>
      <c r="AI731" s="98"/>
      <c r="AJ731" s="98"/>
      <c r="AK731" s="98"/>
      <c r="AL731" s="98"/>
      <c r="AM731" s="98"/>
      <c r="AN731" s="98"/>
      <c r="AO731" s="98"/>
      <c r="AP731" s="98"/>
    </row>
    <row r="732" ht="79.5" customHeight="1">
      <c r="A732" s="29"/>
      <c r="B732" s="38" t="s">
        <v>23</v>
      </c>
      <c r="C732" s="39" t="s">
        <v>1986</v>
      </c>
      <c r="D732" s="40" t="s">
        <v>1935</v>
      </c>
      <c r="E732" s="118"/>
      <c r="F732" s="40"/>
      <c r="G732" s="39"/>
      <c r="H732" s="41" t="s">
        <v>79</v>
      </c>
      <c r="I732" s="48" t="s">
        <v>1985</v>
      </c>
      <c r="J732" s="42" t="str">
        <f>IFERROR(__xludf.DUMMYFUNCTION("GOOGLETRANSLATE(I732,""en"",""pl"")"),"Osłona kopułki przydymionej do XND-6080V/XND-6080RV/XND-8080RV")</f>
        <v>Osłona kopułki przydymionej do XND-6080V/XND-6080RV/XND-8080RV</v>
      </c>
      <c r="K732" s="43" t="s">
        <v>21</v>
      </c>
      <c r="L732" s="44">
        <v>42.0</v>
      </c>
      <c r="M732" s="8"/>
      <c r="N732" s="45" t="s">
        <v>22</v>
      </c>
      <c r="O732" s="97"/>
      <c r="P732" s="36"/>
      <c r="Q732" s="35"/>
      <c r="R732" s="68"/>
      <c r="S732" s="68"/>
      <c r="T732" s="68"/>
      <c r="U732" s="35"/>
      <c r="V732" s="35"/>
      <c r="W732" s="35"/>
      <c r="X732" s="35"/>
      <c r="Y732" s="35"/>
      <c r="Z732" s="35"/>
      <c r="AA732" s="35"/>
      <c r="AB732" s="35"/>
      <c r="AC732" s="60"/>
      <c r="AD732" s="85"/>
      <c r="AE732" s="85"/>
      <c r="AF732" s="85"/>
      <c r="AG732" s="85"/>
      <c r="AH732" s="85"/>
      <c r="AI732" s="85"/>
      <c r="AJ732" s="85"/>
      <c r="AK732" s="85"/>
      <c r="AL732" s="85"/>
      <c r="AM732" s="85"/>
      <c r="AN732" s="85"/>
      <c r="AO732" s="85"/>
      <c r="AP732" s="85"/>
    </row>
    <row r="733" ht="79.5" customHeight="1">
      <c r="A733" s="29"/>
      <c r="B733" s="38" t="s">
        <v>23</v>
      </c>
      <c r="C733" s="39" t="s">
        <v>1987</v>
      </c>
      <c r="D733" s="40" t="s">
        <v>1935</v>
      </c>
      <c r="E733" s="118"/>
      <c r="F733" s="40"/>
      <c r="G733" s="39"/>
      <c r="H733" s="41" t="s">
        <v>79</v>
      </c>
      <c r="I733" s="48" t="s">
        <v>1988</v>
      </c>
      <c r="J733" s="42" t="str">
        <f>IFERROR(__xludf.DUMMYFUNCTION("GOOGLETRANSLATE(I733,""en"",""pl"")"),"Osłona kopułki przyciemnianej do XND-6081V/6081RV/8081RV/6081REV/8081REV, PND-A9081RV, biała")</f>
        <v>Osłona kopułki przyciemnianej do XND-6081V/6081RV/8081RV/6081REV/8081REV, PND-A9081RV, biała</v>
      </c>
      <c r="K733" s="43" t="s">
        <v>21</v>
      </c>
      <c r="L733" s="44">
        <v>69.0</v>
      </c>
      <c r="M733" s="8"/>
      <c r="N733" s="45" t="s">
        <v>22</v>
      </c>
      <c r="O733" s="97"/>
      <c r="P733" s="36"/>
      <c r="Q733" s="35"/>
      <c r="R733" s="68"/>
      <c r="S733" s="68"/>
      <c r="T733" s="68"/>
      <c r="U733" s="35"/>
      <c r="V733" s="35"/>
      <c r="W733" s="35"/>
      <c r="X733" s="35"/>
      <c r="Y733" s="35"/>
      <c r="Z733" s="35"/>
      <c r="AA733" s="35"/>
      <c r="AB733" s="35"/>
      <c r="AC733" s="60"/>
      <c r="AD733" s="85"/>
      <c r="AE733" s="85"/>
      <c r="AF733" s="85"/>
      <c r="AG733" s="85"/>
      <c r="AH733" s="85"/>
      <c r="AI733" s="85"/>
      <c r="AJ733" s="85"/>
      <c r="AK733" s="85"/>
      <c r="AL733" s="85"/>
      <c r="AM733" s="85"/>
      <c r="AN733" s="85"/>
      <c r="AO733" s="85"/>
      <c r="AP733" s="85"/>
    </row>
    <row r="734" ht="79.5" customHeight="1">
      <c r="A734" s="29"/>
      <c r="B734" s="38" t="s">
        <v>23</v>
      </c>
      <c r="C734" s="39" t="s">
        <v>1989</v>
      </c>
      <c r="D734" s="40" t="s">
        <v>1935</v>
      </c>
      <c r="E734" s="118"/>
      <c r="F734" s="40"/>
      <c r="G734" s="39"/>
      <c r="H734" s="41" t="s">
        <v>79</v>
      </c>
      <c r="I734" s="48" t="s">
        <v>1990</v>
      </c>
      <c r="J734" s="42" t="str">
        <f>IFERROR(__xludf.DUMMYFUNCTION("GOOGLETRANSLATE(I734,""en"",""pl"")"),"Osłona kopułki dymnej do PND-A7082RV, PND-A9082RV, biała")</f>
        <v>Osłona kopułki dymnej do PND-A7082RV, PND-A9082RV, biała</v>
      </c>
      <c r="K734" s="43" t="s">
        <v>21</v>
      </c>
      <c r="L734" s="44">
        <v>80.0</v>
      </c>
      <c r="M734" s="8"/>
      <c r="N734" s="45" t="s">
        <v>22</v>
      </c>
      <c r="O734" s="97"/>
      <c r="P734" s="36"/>
      <c r="Q734" s="35"/>
      <c r="R734" s="68"/>
      <c r="S734" s="68"/>
      <c r="T734" s="68"/>
      <c r="U734" s="35"/>
      <c r="V734" s="35"/>
      <c r="W734" s="35"/>
      <c r="X734" s="35"/>
      <c r="Y734" s="35"/>
      <c r="Z734" s="35"/>
      <c r="AA734" s="35"/>
      <c r="AB734" s="35"/>
      <c r="AC734" s="60"/>
      <c r="AD734" s="85"/>
      <c r="AE734" s="85"/>
      <c r="AF734" s="85"/>
      <c r="AG734" s="85"/>
      <c r="AH734" s="85"/>
      <c r="AI734" s="85"/>
      <c r="AJ734" s="85"/>
      <c r="AK734" s="85"/>
      <c r="AL734" s="85"/>
      <c r="AM734" s="85"/>
      <c r="AN734" s="85"/>
      <c r="AO734" s="85"/>
      <c r="AP734" s="85"/>
    </row>
    <row r="735" ht="79.5" customHeight="1">
      <c r="A735" s="29"/>
      <c r="B735" s="38" t="s">
        <v>23</v>
      </c>
      <c r="C735" s="39" t="s">
        <v>1991</v>
      </c>
      <c r="D735" s="40" t="s">
        <v>1935</v>
      </c>
      <c r="E735" s="118"/>
      <c r="F735" s="40"/>
      <c r="G735" s="39"/>
      <c r="H735" s="41" t="s">
        <v>79</v>
      </c>
      <c r="I735" s="48" t="s">
        <v>1992</v>
      </c>
      <c r="J735" s="42" t="str">
        <f>IFERROR(__xludf.DUMMYFUNCTION("GOOGLETRANSLATE(I735,""en"",""pl"")"),"Przydymiona osłona kopułkowa do XND-C9083RV, XND-C8083RV, XND-C7083RV, XND-C6083RV, biała")</f>
        <v>Przydymiona osłona kopułkowa do XND-C9083RV, XND-C8083RV, XND-C7083RV, XND-C6083RV, biała</v>
      </c>
      <c r="K735" s="43" t="s">
        <v>21</v>
      </c>
      <c r="L735" s="44">
        <v>74.0</v>
      </c>
      <c r="M735" s="8"/>
      <c r="N735" s="45" t="s">
        <v>22</v>
      </c>
      <c r="O735" s="97"/>
      <c r="P735" s="36"/>
      <c r="Q735" s="35"/>
      <c r="R735" s="68"/>
      <c r="S735" s="68"/>
      <c r="T735" s="68"/>
      <c r="U735" s="35"/>
      <c r="V735" s="35"/>
      <c r="W735" s="35"/>
      <c r="X735" s="35"/>
      <c r="Y735" s="35"/>
      <c r="Z735" s="35"/>
      <c r="AA735" s="35"/>
      <c r="AB735" s="35"/>
      <c r="AC735" s="60"/>
      <c r="AD735" s="85"/>
      <c r="AE735" s="85"/>
      <c r="AF735" s="85"/>
      <c r="AG735" s="85"/>
      <c r="AH735" s="85"/>
      <c r="AI735" s="85"/>
      <c r="AJ735" s="85"/>
      <c r="AK735" s="85"/>
      <c r="AL735" s="85"/>
      <c r="AM735" s="85"/>
      <c r="AN735" s="85"/>
      <c r="AO735" s="85"/>
      <c r="AP735" s="85"/>
    </row>
    <row r="736" ht="79.5" customHeight="1">
      <c r="A736" s="29"/>
      <c r="B736" s="38" t="s">
        <v>23</v>
      </c>
      <c r="C736" s="39" t="s">
        <v>1993</v>
      </c>
      <c r="D736" s="40" t="s">
        <v>1994</v>
      </c>
      <c r="E736" s="118"/>
      <c r="F736" s="40"/>
      <c r="G736" s="39"/>
      <c r="H736" s="41" t="s">
        <v>79</v>
      </c>
      <c r="I736" s="48" t="s">
        <v>1995</v>
      </c>
      <c r="J736" s="42" t="str">
        <f>IFERROR(__xludf.DUMMYFUNCTION("GOOGLETRANSLATE(I736,""en"",""pl"")"),"Czarna osłona kopułkowa z przezroczystą bańką do QND-6010R/6020R/6030R/7010R/7020R/7030R")</f>
        <v>Czarna osłona kopułkowa z przezroczystą bańką do QND-6010R/6020R/6030R/7010R/7020R/7030R</v>
      </c>
      <c r="K736" s="43" t="s">
        <v>21</v>
      </c>
      <c r="L736" s="44">
        <v>22.0</v>
      </c>
      <c r="M736" s="8"/>
      <c r="N736" s="45" t="s">
        <v>22</v>
      </c>
      <c r="O736" s="97"/>
      <c r="P736" s="36"/>
      <c r="Q736" s="35"/>
      <c r="R736" s="68"/>
      <c r="S736" s="68"/>
      <c r="T736" s="68"/>
      <c r="U736" s="35"/>
      <c r="V736" s="35"/>
      <c r="W736" s="35"/>
      <c r="X736" s="35"/>
      <c r="Y736" s="35"/>
      <c r="Z736" s="35"/>
      <c r="AA736" s="35"/>
      <c r="AB736" s="35"/>
      <c r="AC736" s="60"/>
      <c r="AD736" s="85"/>
      <c r="AE736" s="85"/>
      <c r="AF736" s="85"/>
      <c r="AG736" s="85"/>
      <c r="AH736" s="85"/>
      <c r="AI736" s="85"/>
      <c r="AJ736" s="85"/>
      <c r="AK736" s="85"/>
      <c r="AL736" s="85"/>
      <c r="AM736" s="85"/>
      <c r="AN736" s="85"/>
      <c r="AO736" s="85"/>
      <c r="AP736" s="85"/>
    </row>
    <row r="737" ht="79.5" customHeight="1">
      <c r="A737" s="29"/>
      <c r="B737" s="38" t="s">
        <v>23</v>
      </c>
      <c r="C737" s="39" t="s">
        <v>1996</v>
      </c>
      <c r="D737" s="40" t="s">
        <v>1994</v>
      </c>
      <c r="E737" s="118"/>
      <c r="F737" s="40"/>
      <c r="G737" s="39"/>
      <c r="H737" s="41" t="s">
        <v>79</v>
      </c>
      <c r="I737" s="48" t="s">
        <v>1997</v>
      </c>
      <c r="J737" s="42" t="str">
        <f>IFERROR(__xludf.DUMMYFUNCTION("GOOGLETRANSLATE(I737,""en"",""pl"")"),"Czarna osłona kopułkowa z przezroczystą bańką do QND-6021/6011/8021/8011")</f>
        <v>Czarna osłona kopułkowa z przezroczystą bańką do QND-6021/6011/8021/8011</v>
      </c>
      <c r="K737" s="43" t="s">
        <v>21</v>
      </c>
      <c r="L737" s="44">
        <v>20.0</v>
      </c>
      <c r="M737" s="8"/>
      <c r="N737" s="45" t="s">
        <v>22</v>
      </c>
      <c r="O737" s="97"/>
      <c r="P737" s="36"/>
      <c r="Q737" s="35"/>
      <c r="R737" s="68"/>
      <c r="S737" s="68"/>
      <c r="T737" s="68"/>
      <c r="U737" s="35"/>
      <c r="V737" s="35"/>
      <c r="W737" s="35"/>
      <c r="X737" s="35"/>
      <c r="Y737" s="35"/>
      <c r="Z737" s="35"/>
      <c r="AA737" s="35"/>
      <c r="AB737" s="35"/>
      <c r="AC737" s="60"/>
      <c r="AD737" s="85"/>
      <c r="AE737" s="85"/>
      <c r="AF737" s="85"/>
      <c r="AG737" s="85"/>
      <c r="AH737" s="85"/>
      <c r="AI737" s="85"/>
      <c r="AJ737" s="85"/>
      <c r="AK737" s="85"/>
      <c r="AL737" s="85"/>
      <c r="AM737" s="85"/>
      <c r="AN737" s="85"/>
      <c r="AO737" s="85"/>
      <c r="AP737" s="85"/>
    </row>
    <row r="738" ht="79.5" customHeight="1">
      <c r="A738" s="29"/>
      <c r="B738" s="38" t="s">
        <v>23</v>
      </c>
      <c r="C738" s="39" t="s">
        <v>1998</v>
      </c>
      <c r="D738" s="40" t="s">
        <v>1994</v>
      </c>
      <c r="E738" s="118"/>
      <c r="F738" s="40"/>
      <c r="G738" s="39"/>
      <c r="H738" s="41" t="s">
        <v>79</v>
      </c>
      <c r="I738" s="48" t="s">
        <v>1999</v>
      </c>
      <c r="J738" s="42" t="str">
        <f>IFERROR(__xludf.DUMMYFUNCTION("GOOGLETRANSLATE(I738,""en"",""pl"")"),"Czarna osłona kopułkowa z przezroczystą bańką do QND-6070R, QND-7080R, LND-6071R, LND-6072R")</f>
        <v>Czarna osłona kopułkowa z przezroczystą bańką do QND-6070R, QND-7080R, LND-6071R, LND-6072R</v>
      </c>
      <c r="K738" s="43" t="s">
        <v>21</v>
      </c>
      <c r="L738" s="44">
        <v>23.0</v>
      </c>
      <c r="M738" s="8"/>
      <c r="N738" s="45" t="s">
        <v>22</v>
      </c>
      <c r="O738" s="97"/>
      <c r="P738" s="36"/>
      <c r="Q738" s="35"/>
      <c r="R738" s="68"/>
      <c r="S738" s="68"/>
      <c r="T738" s="68"/>
      <c r="U738" s="35"/>
      <c r="V738" s="35"/>
      <c r="W738" s="35"/>
      <c r="X738" s="35"/>
      <c r="Y738" s="35"/>
      <c r="Z738" s="35"/>
      <c r="AA738" s="35"/>
      <c r="AB738" s="35"/>
      <c r="AC738" s="60"/>
      <c r="AD738" s="85"/>
      <c r="AE738" s="85"/>
      <c r="AF738" s="85"/>
      <c r="AG738" s="85"/>
      <c r="AH738" s="85"/>
      <c r="AI738" s="85"/>
      <c r="AJ738" s="85"/>
      <c r="AK738" s="85"/>
      <c r="AL738" s="85"/>
      <c r="AM738" s="85"/>
      <c r="AN738" s="85"/>
      <c r="AO738" s="85"/>
      <c r="AP738" s="85"/>
    </row>
    <row r="739" ht="79.5" customHeight="1">
      <c r="A739" s="29"/>
      <c r="B739" s="38" t="s">
        <v>23</v>
      </c>
      <c r="C739" s="39" t="s">
        <v>2000</v>
      </c>
      <c r="D739" s="40" t="s">
        <v>1994</v>
      </c>
      <c r="E739" s="118"/>
      <c r="F739" s="40"/>
      <c r="G739" s="39"/>
      <c r="H739" s="41" t="s">
        <v>79</v>
      </c>
      <c r="I739" s="48" t="s">
        <v>2001</v>
      </c>
      <c r="J739" s="42" t="str">
        <f>IFERROR(__xludf.DUMMYFUNCTION("GOOGLETRANSLATE(I739,""en"",""pl"")"),"Osłona kopułki kompatybilna z XNP-C7310R i XNP-C9310R")</f>
        <v>Osłona kopułki kompatybilna z XNP-C7310R i XNP-C9310R</v>
      </c>
      <c r="K739" s="43" t="s">
        <v>21</v>
      </c>
      <c r="L739" s="44">
        <v>133.0</v>
      </c>
      <c r="M739" s="8"/>
      <c r="N739" s="45" t="s">
        <v>22</v>
      </c>
      <c r="O739" s="97"/>
      <c r="P739" s="36"/>
      <c r="Q739" s="35"/>
      <c r="R739" s="68"/>
      <c r="S739" s="68"/>
      <c r="T739" s="68"/>
      <c r="U739" s="35"/>
      <c r="V739" s="35"/>
      <c r="W739" s="35"/>
      <c r="X739" s="35"/>
      <c r="Y739" s="35"/>
      <c r="Z739" s="35"/>
      <c r="AA739" s="35"/>
      <c r="AB739" s="35"/>
      <c r="AC739" s="60"/>
      <c r="AD739" s="85"/>
      <c r="AE739" s="85"/>
      <c r="AF739" s="85"/>
      <c r="AG739" s="85"/>
      <c r="AH739" s="85"/>
      <c r="AI739" s="85"/>
      <c r="AJ739" s="85"/>
      <c r="AK739" s="85"/>
      <c r="AL739" s="85"/>
      <c r="AM739" s="85"/>
      <c r="AN739" s="85"/>
      <c r="AO739" s="85"/>
      <c r="AP739" s="85"/>
    </row>
    <row r="740" ht="79.5" customHeight="1">
      <c r="A740" s="29"/>
      <c r="B740" s="38" t="s">
        <v>23</v>
      </c>
      <c r="C740" s="39" t="s">
        <v>2002</v>
      </c>
      <c r="D740" s="40" t="s">
        <v>2003</v>
      </c>
      <c r="E740" s="118"/>
      <c r="F740" s="40"/>
      <c r="G740" s="39"/>
      <c r="H740" s="41" t="s">
        <v>79</v>
      </c>
      <c r="I740" s="48" t="s">
        <v>2004</v>
      </c>
      <c r="J740" s="42" t="str">
        <f>IFERROR(__xludf.DUMMYFUNCTION("GOOGLETRANSLATE(I740,""en"",""pl"")"),"Osłona kopułki przewodu TNV-C7013RC, biała, aluminiowa, 198,3 x 198,6 x 94 mm (7,81 x 7,82 x 3,70 cala)")</f>
        <v>Osłona kopułki przewodu TNV-C7013RC, biała, aluminiowa, 198,3 x 198,6 x 94 mm (7,81 x 7,82 x 3,70 cala)</v>
      </c>
      <c r="K740" s="43" t="s">
        <v>21</v>
      </c>
      <c r="L740" s="44">
        <v>79.0</v>
      </c>
      <c r="M740" s="8"/>
      <c r="N740" s="45" t="s">
        <v>22</v>
      </c>
      <c r="O740" s="97"/>
      <c r="P740" s="36"/>
      <c r="Q740" s="35"/>
      <c r="R740" s="68"/>
      <c r="S740" s="68"/>
      <c r="T740" s="68"/>
      <c r="U740" s="35"/>
      <c r="V740" s="35"/>
      <c r="W740" s="35"/>
      <c r="X740" s="35"/>
      <c r="Y740" s="35"/>
      <c r="Z740" s="35"/>
      <c r="AA740" s="35"/>
      <c r="AB740" s="35"/>
      <c r="AC740" s="60"/>
      <c r="AD740" s="85"/>
      <c r="AE740" s="85"/>
      <c r="AF740" s="85"/>
      <c r="AG740" s="85"/>
      <c r="AH740" s="85"/>
      <c r="AI740" s="85"/>
      <c r="AJ740" s="85"/>
      <c r="AK740" s="85"/>
      <c r="AL740" s="85"/>
      <c r="AM740" s="85"/>
      <c r="AN740" s="85"/>
      <c r="AO740" s="85"/>
      <c r="AP740" s="85"/>
    </row>
    <row r="741" ht="79.5" customHeight="1">
      <c r="A741" s="29"/>
      <c r="B741" s="38" t="s">
        <v>23</v>
      </c>
      <c r="C741" s="39" t="s">
        <v>2005</v>
      </c>
      <c r="D741" s="40" t="s">
        <v>1935</v>
      </c>
      <c r="E741" s="118"/>
      <c r="F741" s="40"/>
      <c r="G741" s="39"/>
      <c r="H741" s="41" t="s">
        <v>79</v>
      </c>
      <c r="I741" s="48" t="s">
        <v>2006</v>
      </c>
      <c r="J741" s="42" t="str">
        <f>IFERROR(__xludf.DUMMYFUNCTION("GOOGLETRANSLATE(I741,""en"",""pl"")"),"Osłona kopułki przyciemniana do stałych kopuł wewnętrznych Q/L w kolorze białym (LND-6012R/6022R/6032R, QND-6012R/6022R/6032R)")</f>
        <v>Osłona kopułki przyciemniana do stałych kopuł wewnętrznych Q/L w kolorze białym (LND-6012R/6022R/6032R, QND-6012R/6022R/6032R)</v>
      </c>
      <c r="K741" s="43" t="s">
        <v>21</v>
      </c>
      <c r="L741" s="44">
        <v>25.0</v>
      </c>
      <c r="M741" s="8"/>
      <c r="N741" s="45" t="s">
        <v>22</v>
      </c>
      <c r="O741" s="97"/>
      <c r="P741" s="36"/>
      <c r="Q741" s="35"/>
      <c r="R741" s="68"/>
      <c r="S741" s="68"/>
      <c r="T741" s="68"/>
      <c r="U741" s="35"/>
      <c r="V741" s="35"/>
      <c r="W741" s="35"/>
      <c r="X741" s="35"/>
      <c r="Y741" s="35"/>
      <c r="Z741" s="35"/>
      <c r="AA741" s="35"/>
      <c r="AB741" s="35"/>
      <c r="AC741" s="60"/>
      <c r="AD741" s="85"/>
      <c r="AE741" s="85"/>
      <c r="AF741" s="85"/>
      <c r="AG741" s="85"/>
      <c r="AH741" s="85"/>
      <c r="AI741" s="85"/>
      <c r="AJ741" s="85"/>
      <c r="AK741" s="85"/>
      <c r="AL741" s="85"/>
      <c r="AM741" s="85"/>
      <c r="AN741" s="85"/>
      <c r="AO741" s="85"/>
      <c r="AP741" s="85"/>
    </row>
    <row r="742" ht="79.5" customHeight="1">
      <c r="A742" s="29"/>
      <c r="B742" s="38" t="s">
        <v>23</v>
      </c>
      <c r="C742" s="39" t="s">
        <v>2007</v>
      </c>
      <c r="D742" s="40" t="s">
        <v>1935</v>
      </c>
      <c r="E742" s="118"/>
      <c r="F742" s="40"/>
      <c r="G742" s="39"/>
      <c r="H742" s="41" t="s">
        <v>79</v>
      </c>
      <c r="I742" s="48" t="s">
        <v>2008</v>
      </c>
      <c r="J742" s="42" t="str">
        <f>IFERROR(__xludf.DUMMYFUNCTION("GOOGLETRANSLATE(I742,""en"",""pl"")"),"Osłona kopułki przyciemnianej do LND-6072R, QND-6070R, QND-6082R, QND-6082R1, biała")</f>
        <v>Osłona kopułki przyciemnianej do LND-6072R, QND-6070R, QND-6082R, QND-6082R1, biała</v>
      </c>
      <c r="K742" s="43" t="s">
        <v>21</v>
      </c>
      <c r="L742" s="44">
        <v>23.0</v>
      </c>
      <c r="M742" s="8"/>
      <c r="N742" s="45" t="s">
        <v>22</v>
      </c>
      <c r="O742" s="97"/>
      <c r="P742" s="36"/>
      <c r="Q742" s="35"/>
      <c r="R742" s="68"/>
      <c r="S742" s="68"/>
      <c r="T742" s="68"/>
      <c r="U742" s="35"/>
      <c r="V742" s="35"/>
      <c r="W742" s="35"/>
      <c r="X742" s="35"/>
      <c r="Y742" s="35"/>
      <c r="Z742" s="35"/>
      <c r="AA742" s="35"/>
      <c r="AB742" s="35"/>
      <c r="AC742" s="60"/>
      <c r="AD742" s="85"/>
      <c r="AE742" s="85"/>
      <c r="AF742" s="85"/>
      <c r="AG742" s="85"/>
      <c r="AH742" s="85"/>
      <c r="AI742" s="85"/>
      <c r="AJ742" s="85"/>
      <c r="AK742" s="85"/>
      <c r="AL742" s="85"/>
      <c r="AM742" s="85"/>
      <c r="AN742" s="85"/>
      <c r="AO742" s="85"/>
      <c r="AP742" s="85"/>
    </row>
    <row r="743" ht="79.5" customHeight="1">
      <c r="A743" s="29"/>
      <c r="B743" s="102" t="s">
        <v>23</v>
      </c>
      <c r="C743" s="103" t="s">
        <v>2009</v>
      </c>
      <c r="D743" s="104" t="s">
        <v>1935</v>
      </c>
      <c r="E743" s="118"/>
      <c r="F743" s="104"/>
      <c r="G743" s="103"/>
      <c r="H743" s="105" t="s">
        <v>79</v>
      </c>
      <c r="I743" s="106" t="s">
        <v>2010</v>
      </c>
      <c r="J743" s="42" t="str">
        <f>IFERROR(__xludf.DUMMYFUNCTION("GOOGLETRANSLATE(I743,""en"",""pl"")"),"Osłona kopułki przydymionej do kamery PNM-9322VQP (tylko do kamer PTZ)")</f>
        <v>Osłona kopułki przydymionej do kamery PNM-9322VQP (tylko do kamer PTZ)</v>
      </c>
      <c r="K743" s="43" t="s">
        <v>21</v>
      </c>
      <c r="L743" s="44">
        <v>140.0</v>
      </c>
      <c r="M743" s="8"/>
      <c r="N743" s="45" t="s">
        <v>22</v>
      </c>
      <c r="O743" s="97"/>
      <c r="P743" s="36"/>
      <c r="Q743" s="35"/>
      <c r="R743" s="68"/>
      <c r="S743" s="68"/>
      <c r="T743" s="68"/>
      <c r="U743" s="35"/>
      <c r="V743" s="35"/>
      <c r="W743" s="35"/>
      <c r="X743" s="35"/>
      <c r="Y743" s="35"/>
      <c r="Z743" s="35"/>
      <c r="AA743" s="35"/>
      <c r="AB743" s="35"/>
      <c r="AC743" s="60"/>
      <c r="AD743" s="85"/>
      <c r="AE743" s="85"/>
      <c r="AF743" s="85"/>
      <c r="AG743" s="85"/>
      <c r="AH743" s="85"/>
      <c r="AI743" s="85"/>
      <c r="AJ743" s="85"/>
      <c r="AK743" s="85"/>
      <c r="AL743" s="85"/>
      <c r="AM743" s="85"/>
      <c r="AN743" s="85"/>
      <c r="AO743" s="85"/>
      <c r="AP743" s="85"/>
    </row>
    <row r="744" ht="79.5" customHeight="1">
      <c r="A744" s="29"/>
      <c r="B744" s="102" t="s">
        <v>23</v>
      </c>
      <c r="C744" s="103" t="s">
        <v>2011</v>
      </c>
      <c r="D744" s="104" t="s">
        <v>1935</v>
      </c>
      <c r="E744" s="118"/>
      <c r="F744" s="104"/>
      <c r="G744" s="103"/>
      <c r="H744" s="105" t="s">
        <v>79</v>
      </c>
      <c r="I744" s="106" t="s">
        <v>2012</v>
      </c>
      <c r="J744" s="42" t="str">
        <f>IFERROR(__xludf.DUMMYFUNCTION("GOOGLETRANSLATE(I744,""en"",""pl"")"),"Przyciemniana osłona kopułkowa do PNM-9084RQZ i PNM-9085RQZ")</f>
        <v>Przyciemniana osłona kopułkowa do PNM-9084RQZ i PNM-9085RQZ</v>
      </c>
      <c r="K744" s="43" t="s">
        <v>21</v>
      </c>
      <c r="L744" s="44">
        <v>230.0</v>
      </c>
      <c r="M744" s="8"/>
      <c r="N744" s="45" t="s">
        <v>22</v>
      </c>
      <c r="O744" s="97"/>
      <c r="P744" s="36"/>
      <c r="Q744" s="35"/>
      <c r="R744" s="68"/>
      <c r="S744" s="68"/>
      <c r="T744" s="68"/>
      <c r="U744" s="35"/>
      <c r="V744" s="35"/>
      <c r="W744" s="35"/>
      <c r="X744" s="35"/>
      <c r="Y744" s="35"/>
      <c r="Z744" s="35"/>
      <c r="AA744" s="35"/>
      <c r="AB744" s="35"/>
      <c r="AC744" s="60"/>
      <c r="AD744" s="85"/>
      <c r="AE744" s="85"/>
      <c r="AF744" s="85"/>
      <c r="AG744" s="85"/>
      <c r="AH744" s="85"/>
      <c r="AI744" s="85"/>
      <c r="AJ744" s="85"/>
      <c r="AK744" s="85"/>
      <c r="AL744" s="85"/>
      <c r="AM744" s="85"/>
      <c r="AN744" s="85"/>
      <c r="AO744" s="85"/>
      <c r="AP744" s="85"/>
    </row>
    <row r="745" ht="79.5" customHeight="1">
      <c r="A745" s="29"/>
      <c r="B745" s="102" t="s">
        <v>23</v>
      </c>
      <c r="C745" s="103" t="s">
        <v>2013</v>
      </c>
      <c r="D745" s="104" t="s">
        <v>1935</v>
      </c>
      <c r="E745" s="118"/>
      <c r="F745" s="104"/>
      <c r="G745" s="103"/>
      <c r="H745" s="105" t="s">
        <v>79</v>
      </c>
      <c r="I745" s="106" t="s">
        <v>2014</v>
      </c>
      <c r="J745" s="42" t="str">
        <f>IFERROR(__xludf.DUMMYFUNCTION("GOOGLETRANSLATE(I745,""en"",""pl"")"),"Kopuła dymna kompatybilna z PNM-C19183RVTP")</f>
        <v>Kopuła dymna kompatybilna z PNM-C19183RVTP</v>
      </c>
      <c r="K745" s="43" t="s">
        <v>21</v>
      </c>
      <c r="L745" s="44">
        <v>280.0</v>
      </c>
      <c r="M745" s="8"/>
      <c r="N745" s="45" t="s">
        <v>22</v>
      </c>
      <c r="O745" s="97"/>
      <c r="P745" s="35"/>
      <c r="Q745" s="35"/>
      <c r="R745" s="68"/>
      <c r="S745" s="68"/>
      <c r="T745" s="68"/>
      <c r="U745" s="35"/>
      <c r="V745" s="35"/>
      <c r="W745" s="35"/>
      <c r="X745" s="35"/>
      <c r="Y745" s="35"/>
      <c r="Z745" s="35"/>
      <c r="AA745" s="35"/>
      <c r="AB745" s="35"/>
      <c r="AC745" s="101"/>
      <c r="AD745" s="98"/>
      <c r="AE745" s="98"/>
      <c r="AF745" s="98"/>
      <c r="AG745" s="98"/>
      <c r="AH745" s="98"/>
      <c r="AI745" s="98"/>
      <c r="AJ745" s="98"/>
      <c r="AK745" s="98"/>
      <c r="AL745" s="98"/>
      <c r="AM745" s="98"/>
      <c r="AN745" s="98"/>
      <c r="AO745" s="98"/>
      <c r="AP745" s="98"/>
    </row>
    <row r="746" ht="79.5" customHeight="1">
      <c r="A746" s="29"/>
      <c r="B746" s="102" t="s">
        <v>23</v>
      </c>
      <c r="C746" s="103" t="s">
        <v>2015</v>
      </c>
      <c r="D746" s="104" t="s">
        <v>1935</v>
      </c>
      <c r="E746" s="118"/>
      <c r="F746" s="104"/>
      <c r="G746" s="103"/>
      <c r="H746" s="105" t="s">
        <v>79</v>
      </c>
      <c r="I746" s="106" t="s">
        <v>2016</v>
      </c>
      <c r="J746" s="42" t="str">
        <f>IFERROR(__xludf.DUMMYFUNCTION("GOOGLETRANSLATE(I746,""en"",""pl"")"),"Przyciemniana osłona kopułkowa do PNM-9084QZ i PNM-8083VT")</f>
        <v>Przyciemniana osłona kopułkowa do PNM-9084QZ i PNM-8083VT</v>
      </c>
      <c r="K746" s="43" t="s">
        <v>21</v>
      </c>
      <c r="L746" s="44">
        <v>95.0</v>
      </c>
      <c r="M746" s="8"/>
      <c r="N746" s="45" t="s">
        <v>22</v>
      </c>
      <c r="O746" s="97"/>
      <c r="P746" s="36"/>
      <c r="Q746" s="35"/>
      <c r="R746" s="68"/>
      <c r="S746" s="68"/>
      <c r="T746" s="68"/>
      <c r="U746" s="35"/>
      <c r="V746" s="35"/>
      <c r="W746" s="35"/>
      <c r="X746" s="35"/>
      <c r="Y746" s="35"/>
      <c r="Z746" s="35"/>
      <c r="AA746" s="35"/>
      <c r="AB746" s="35"/>
      <c r="AC746" s="60"/>
      <c r="AD746" s="85"/>
      <c r="AE746" s="85"/>
      <c r="AF746" s="85"/>
      <c r="AG746" s="85"/>
      <c r="AH746" s="85"/>
      <c r="AI746" s="85"/>
      <c r="AJ746" s="85"/>
      <c r="AK746" s="85"/>
      <c r="AL746" s="85"/>
      <c r="AM746" s="85"/>
      <c r="AN746" s="85"/>
      <c r="AO746" s="85"/>
      <c r="AP746" s="85"/>
    </row>
    <row r="747" ht="79.5" customHeight="1">
      <c r="A747" s="29"/>
      <c r="B747" s="102" t="s">
        <v>23</v>
      </c>
      <c r="C747" s="103" t="s">
        <v>2017</v>
      </c>
      <c r="D747" s="104" t="s">
        <v>1935</v>
      </c>
      <c r="E747" s="118"/>
      <c r="F747" s="104"/>
      <c r="G747" s="103"/>
      <c r="H747" s="105" t="s">
        <v>79</v>
      </c>
      <c r="I747" s="106" t="s">
        <v>2018</v>
      </c>
      <c r="J747" s="42" t="str">
        <f>IFERROR(__xludf.DUMMYFUNCTION("GOOGLETRANSLATE(I747,""en"",""pl"")"),"Przyciemniana osłona kopułki do PNM-9022V")</f>
        <v>Przyciemniana osłona kopułki do PNM-9022V</v>
      </c>
      <c r="K747" s="43" t="s">
        <v>21</v>
      </c>
      <c r="L747" s="44">
        <v>125.0</v>
      </c>
      <c r="M747" s="8"/>
      <c r="N747" s="132" t="s">
        <v>22</v>
      </c>
      <c r="O747" s="97"/>
      <c r="P747" s="36"/>
      <c r="Q747" s="35"/>
      <c r="R747" s="68"/>
      <c r="S747" s="68"/>
      <c r="T747" s="68"/>
      <c r="U747" s="35"/>
      <c r="V747" s="35"/>
      <c r="W747" s="35"/>
      <c r="X747" s="35"/>
      <c r="Y747" s="35"/>
      <c r="Z747" s="35"/>
      <c r="AA747" s="35"/>
      <c r="AB747" s="35"/>
      <c r="AC747" s="60"/>
      <c r="AD747" s="85"/>
      <c r="AE747" s="85"/>
      <c r="AF747" s="85"/>
      <c r="AG747" s="85"/>
      <c r="AH747" s="85"/>
      <c r="AI747" s="85"/>
      <c r="AJ747" s="85"/>
      <c r="AK747" s="85"/>
      <c r="AL747" s="85"/>
      <c r="AM747" s="85"/>
      <c r="AN747" s="85"/>
      <c r="AO747" s="85"/>
      <c r="AP747" s="85"/>
    </row>
    <row r="748" ht="30.0" customHeight="1">
      <c r="A748" s="29"/>
      <c r="B748" s="129" t="s">
        <v>2019</v>
      </c>
      <c r="C748" s="113"/>
      <c r="D748" s="113"/>
      <c r="E748" s="113"/>
      <c r="F748" s="113"/>
      <c r="G748" s="113"/>
      <c r="H748" s="113"/>
      <c r="I748" s="113"/>
      <c r="J748" s="42" t="str">
        <f>IFERROR(__xludf.DUMMYFUNCTION("GOOGLETRANSLATE(I748,""en"",""pl"")"),"#VALUE!")</f>
        <v>#VALUE!</v>
      </c>
      <c r="K748" s="94"/>
      <c r="L748" s="114"/>
      <c r="M748" s="115"/>
      <c r="N748" s="133"/>
      <c r="O748" s="83"/>
      <c r="P748" s="36"/>
      <c r="Q748" s="35"/>
      <c r="R748" s="68"/>
      <c r="S748" s="68"/>
      <c r="T748" s="68"/>
      <c r="U748" s="35"/>
      <c r="V748" s="35"/>
      <c r="W748" s="35"/>
      <c r="X748" s="35"/>
      <c r="Y748" s="35"/>
      <c r="Z748" s="35"/>
      <c r="AA748" s="35"/>
      <c r="AB748" s="35"/>
      <c r="AC748" s="60"/>
      <c r="AD748" s="85"/>
      <c r="AE748" s="85"/>
      <c r="AF748" s="85"/>
      <c r="AG748" s="85"/>
      <c r="AH748" s="85"/>
      <c r="AI748" s="85"/>
      <c r="AJ748" s="85"/>
      <c r="AK748" s="85"/>
      <c r="AL748" s="85"/>
      <c r="AM748" s="85"/>
      <c r="AN748" s="85"/>
      <c r="AO748" s="85"/>
      <c r="AP748" s="85"/>
    </row>
    <row r="749" ht="46.5" customHeight="1">
      <c r="A749" s="29"/>
      <c r="B749" s="38" t="s">
        <v>2020</v>
      </c>
      <c r="C749" s="40" t="s">
        <v>2021</v>
      </c>
      <c r="D749" s="41" t="s">
        <v>2022</v>
      </c>
      <c r="E749" s="40"/>
      <c r="F749" s="40"/>
      <c r="G749" s="39" t="s">
        <v>2023</v>
      </c>
      <c r="H749" s="41" t="s">
        <v>19</v>
      </c>
      <c r="I749" s="48" t="s">
        <v>2024</v>
      </c>
      <c r="J749" s="42" t="str">
        <f>IFERROR(__xludf.DUMMYFUNCTION("GOOGLETRANSLATE(I749,""en"",""pl"")"),"32-calowy monitor IP z włączoną sztuczną inteligencją (AI PVM) z obsługą PIP i PBP, 1080p (1920 x 1080 60 Hz), HDMI, Ethernet, współczynnik proporcji 16:9, wbudowany głośnik (2 x 2 W), montaż VESA (100 x 100 mm / 200 x 100 mm), czarna obudowa, wykrywanie "&amp;"twarzy i obiektów przez AI. Wyświetlacz do wizualnego odstraszania, konfigurowalny nakład tekstowy ze wstępnie skonfigurowanym OSD „nagrywanie w toku” Wbudowana kamera IP 2 MP, stały obiektyw 3,06 mm, (107,7"" H i 59,0 V), 120 dB WDR, H.265/H.264/MJPEG, p"&amp;"okaz slajdów i wideo na żywo, micro SD/SDHC/SDXC, dwukierunkowy dźwięk, tryb widoku korytarzowego, obsługa wyświetlania pionowego i poziomego, HPoE 802.3bt, DC 24 V. ***Zasilacz nie jest dołączony***")</f>
        <v>32-calowy monitor IP z włączoną sztuczną inteligencją (AI PVM) z obsługą PIP i PBP, 1080p (1920 x 1080 60 Hz), HDMI, Ethernet, współczynnik proporcji 16:9, wbudowany głośnik (2 x 2 W), montaż VESA (100 x 100 mm / 200 x 100 mm), czarna obudowa, wykrywanie twarzy i obiektów przez AI. Wyświetlacz do wizualnego odstraszania, konfigurowalny nakład tekstowy ze wstępnie skonfigurowanym OSD „nagrywanie w toku” Wbudowana kamera IP 2 MP, stały obiektyw 3,06 mm, (107,7" H i 59,0 V), 120 dB WDR, H.265/H.264/MJPEG, pokaz slajdów i wideo na żywo, micro SD/SDHC/SDXC, dwukierunkowy dźwięk, tryb widoku korytarzowego, obsługa wyświetlania pionowego i poziomego, HPoE 802.3bt, DC 24 V. ***Zasilacz nie jest dołączony***</v>
      </c>
      <c r="K749" s="43" t="s">
        <v>21</v>
      </c>
      <c r="L749" s="128">
        <v>2950.0</v>
      </c>
      <c r="M749" s="8"/>
      <c r="N749" s="45" t="s">
        <v>22</v>
      </c>
      <c r="O749" s="97"/>
      <c r="P749" s="35"/>
      <c r="Q749" s="35"/>
      <c r="R749" s="68"/>
      <c r="S749" s="68"/>
      <c r="T749" s="68"/>
      <c r="U749" s="35"/>
      <c r="V749" s="35"/>
      <c r="W749" s="35"/>
      <c r="X749" s="35"/>
      <c r="Y749" s="35"/>
      <c r="Z749" s="35"/>
      <c r="AA749" s="35"/>
      <c r="AB749" s="35"/>
      <c r="AC749" s="101"/>
      <c r="AD749" s="98"/>
      <c r="AE749" s="98"/>
      <c r="AF749" s="98"/>
      <c r="AG749" s="98"/>
      <c r="AH749" s="98"/>
      <c r="AI749" s="98"/>
      <c r="AJ749" s="98"/>
      <c r="AK749" s="98"/>
      <c r="AL749" s="98"/>
      <c r="AM749" s="98"/>
      <c r="AN749" s="98"/>
      <c r="AO749" s="98"/>
      <c r="AP749" s="98"/>
    </row>
    <row r="750" ht="46.5" customHeight="1">
      <c r="A750" s="29"/>
      <c r="B750" s="38" t="s">
        <v>2020</v>
      </c>
      <c r="C750" s="40" t="s">
        <v>2025</v>
      </c>
      <c r="D750" s="41" t="s">
        <v>2026</v>
      </c>
      <c r="E750" s="40"/>
      <c r="F750" s="40"/>
      <c r="G750" s="39" t="s">
        <v>2023</v>
      </c>
      <c r="H750" s="41" t="s">
        <v>19</v>
      </c>
      <c r="I750" s="48" t="s">
        <v>2027</v>
      </c>
      <c r="J750" s="42" t="str">
        <f>IFERROR(__xludf.DUMMYFUNCTION("GOOGLETRANSLATE(I750,""en"",""pl"")"),"32-calowy monitor IP z obsługą sztucznej inteligencji (AI PVM), 1080p (1920 x 1080 60 Hz), HDMI (x2), Ethernet, proporcje obrazu 16:9, wbudowany głośnik (2 W x2), funkcja wykrywania twarzy w celu wizualnego odstraszania, analiza AI, konfigurowalne komunik"&amp;"aty nakładkowe na banery, wbudowana kamera IP 2 MP, obiektyw stałoogniskowy 3,06 mm (107,7"" H, 59,0 V), WDR 120 dB, H.265/H.264/MJPEG, pokaz slajdów i wideo na żywo, karty Micro SD/SDHC/SDXC, zgodność ze standardem VESA (100 x 100 / 200 x 100 / 200 x 200"&amp;"), czarna obudowa, tryb wyświetlania w korytarzu, obsługa wyświetlania w orientacji pionowej i poziomej, HPoE 802.3bt, prąd stały 24 V. ***Zasilacz nie jest dołączony***")</f>
        <v>32-calowy monitor IP z obsługą sztucznej inteligencji (AI PVM), 1080p (1920 x 1080 60 Hz), HDMI (x2), Ethernet, proporcje obrazu 16:9, wbudowany głośnik (2 W x2), funkcja wykrywania twarzy w celu wizualnego odstraszania, analiza AI, konfigurowalne komunikaty nakładkowe na banery, wbudowana kamera IP 2 MP, obiektyw stałoogniskowy 3,06 mm (107,7" H, 59,0 V), WDR 120 dB, H.265/H.264/MJPEG, pokaz slajdów i wideo na żywo, karty Micro SD/SDHC/SDXC, zgodność ze standardem VESA (100 x 100 / 200 x 100 / 200 x 200), czarna obudowa, tryb wyświetlania w korytarzu, obsługa wyświetlania w orientacji pionowej i poziomej, HPoE 802.3bt, prąd stały 24 V. ***Zasilacz nie jest dołączony***</v>
      </c>
      <c r="K750" s="43" t="s">
        <v>21</v>
      </c>
      <c r="L750" s="128">
        <v>2350.0</v>
      </c>
      <c r="M750" s="8"/>
      <c r="N750" s="45" t="s">
        <v>22</v>
      </c>
      <c r="O750" s="97"/>
      <c r="P750" s="35"/>
      <c r="Q750" s="35"/>
      <c r="R750" s="68"/>
      <c r="S750" s="68"/>
      <c r="T750" s="68"/>
      <c r="U750" s="35"/>
      <c r="V750" s="35"/>
      <c r="W750" s="35"/>
      <c r="X750" s="35"/>
      <c r="Y750" s="35"/>
      <c r="Z750" s="35"/>
      <c r="AA750" s="35"/>
      <c r="AB750" s="35"/>
      <c r="AC750" s="101"/>
      <c r="AD750" s="98"/>
      <c r="AE750" s="98"/>
      <c r="AF750" s="98"/>
      <c r="AG750" s="98"/>
      <c r="AH750" s="98"/>
      <c r="AI750" s="98"/>
      <c r="AJ750" s="98"/>
      <c r="AK750" s="98"/>
      <c r="AL750" s="98"/>
      <c r="AM750" s="98"/>
      <c r="AN750" s="98"/>
      <c r="AO750" s="98"/>
      <c r="AP750" s="98"/>
    </row>
    <row r="751" ht="46.5" customHeight="1">
      <c r="A751" s="29"/>
      <c r="B751" s="38" t="s">
        <v>2020</v>
      </c>
      <c r="C751" s="40" t="s">
        <v>2028</v>
      </c>
      <c r="D751" s="41" t="s">
        <v>2029</v>
      </c>
      <c r="E751" s="40"/>
      <c r="F751" s="40"/>
      <c r="G751" s="39" t="s">
        <v>2023</v>
      </c>
      <c r="H751" s="41" t="s">
        <v>19</v>
      </c>
      <c r="I751" s="48" t="s">
        <v>2030</v>
      </c>
      <c r="J751" s="42" t="str">
        <f>IFERROR(__xludf.DUMMYFUNCTION("GOOGLETRANSLATE(I751,""en"",""pl"")"),"27"" AI Enabled, monitor IP public view (AI PVM) obsługa PIP i PBP, 1080p (1920 x 1080 60Hz), HDMI, Ethernet, współczynnik proporcji 16:9, wbudowany głośnik (2x2 W), montaż VESA (100 x 100 mm / 200 x 100 mm), czarna obudowa, wykrywanie twarzy i obiektów p"&amp;"rzez AI. Wyświetlacz do wizualnego odstraszania, konfigurowalny nakładka tekstowa ze wstępnie skonfigurowanym OSD „nagrywanie w toku” Wbudowana kamera IP 2 MP, stały obiektyw 3,06 mm, (107,7"" H i 59,0 V), 120 dB WDR, H.265/H.264/MJPEG, pokaz slajdów i wi"&amp;"deo na żywo, micro SD/SDHC/SDXC, dwukierunkowy dźwięk, tryb widoku korytarzowego, obsługa wyświetlania pionowego i poziomego, HPoE 802.3bt, DC 24 V. ***Zasilacz nie jest dołączony***")</f>
        <v>27" AI Enabled, monitor IP public view (AI PVM) obsługa PIP i PBP, 1080p (1920 x 1080 60Hz), HDMI, Ethernet, współczynnik proporcji 16:9, wbudowany głośnik (2x2 W), montaż VESA (100 x 100 mm / 200 x 100 mm), czarna obudowa, wykrywanie twarzy i obiektów przez AI. Wyświetlacz do wizualnego odstraszania, konfigurowalny nakładka tekstowa ze wstępnie skonfigurowanym OSD „nagrywanie w toku” Wbudowana kamera IP 2 MP, stały obiektyw 3,06 mm, (107,7" H i 59,0 V), 120 dB WDR, H.265/H.264/MJPEG, pokaz slajdów i wideo na żywo, micro SD/SDHC/SDXC, dwukierunkowy dźwięk, tryb widoku korytarzowego, obsługa wyświetlania pionowego i poziomego, HPoE 802.3bt, DC 24 V. ***Zasilacz nie jest dołączony***</v>
      </c>
      <c r="K751" s="43" t="s">
        <v>21</v>
      </c>
      <c r="L751" s="128">
        <v>2500.0</v>
      </c>
      <c r="M751" s="8"/>
      <c r="N751" s="45" t="s">
        <v>22</v>
      </c>
      <c r="O751" s="97"/>
      <c r="P751" s="35"/>
      <c r="Q751" s="35"/>
      <c r="R751" s="68"/>
      <c r="S751" s="68"/>
      <c r="T751" s="68"/>
      <c r="U751" s="35"/>
      <c r="V751" s="35"/>
      <c r="W751" s="35"/>
      <c r="X751" s="35"/>
      <c r="Y751" s="35"/>
      <c r="Z751" s="35"/>
      <c r="AA751" s="35"/>
      <c r="AB751" s="35"/>
      <c r="AC751" s="101"/>
      <c r="AD751" s="98"/>
      <c r="AE751" s="98"/>
      <c r="AF751" s="98"/>
      <c r="AG751" s="98"/>
      <c r="AH751" s="98"/>
      <c r="AI751" s="98"/>
      <c r="AJ751" s="98"/>
      <c r="AK751" s="98"/>
      <c r="AL751" s="98"/>
      <c r="AM751" s="98"/>
      <c r="AN751" s="98"/>
      <c r="AO751" s="98"/>
      <c r="AP751" s="98"/>
    </row>
    <row r="752" ht="46.5" customHeight="1">
      <c r="A752" s="29"/>
      <c r="B752" s="38" t="s">
        <v>2020</v>
      </c>
      <c r="C752" s="40" t="s">
        <v>2031</v>
      </c>
      <c r="D752" s="41" t="s">
        <v>2032</v>
      </c>
      <c r="E752" s="40"/>
      <c r="F752" s="40"/>
      <c r="G752" s="39" t="s">
        <v>2023</v>
      </c>
      <c r="H752" s="41" t="s">
        <v>19</v>
      </c>
      <c r="I752" s="48" t="s">
        <v>2033</v>
      </c>
      <c r="J752" s="42" t="str">
        <f>IFERROR(__xludf.DUMMYFUNCTION("GOOGLETRANSLATE(I752,""en"",""pl"")"),"27-calowy monitor IP z obsługą sztucznej inteligencji (AI PVM), 1080p (1920 x 1080 60 Hz), HDMI (x2), Ethernet, proporcje obrazu 16:9, wbudowany głośnik (2 W x2), wykrywanie twarzy w celu wizualnego odstraszania, analiza AI, konfigurowalne komunikaty nakł"&amp;"adkowe na banery, wbudowana kamera IP 2 MP, stały obiektyw 3,06 mm (107,7"" H, 59,0 V), WDR 120 dB, H.265/H.264/MJPEG, pokaz slajdów i wideo na żywo, karty Micro SD/SDHC/SDXC, zgodność ze standardem VESA (100 x 100 / 200 x 100 / 200 x 200), czarna obudowa"&amp;", tryb widoku na korytarzu, obsługa wyświetlania w orientacji pionowej i poziomej, HPoE 802.3bt, prąd stały 24 V. ***Zasilacz nie jest dołączony***")</f>
        <v>27-calowy monitor IP z obsługą sztucznej inteligencji (AI PVM), 1080p (1920 x 1080 60 Hz), HDMI (x2), Ethernet, proporcje obrazu 16:9, wbudowany głośnik (2 W x2), wykrywanie twarzy w celu wizualnego odstraszania, analiza AI, konfigurowalne komunikaty nakładkowe na banery, wbudowana kamera IP 2 MP, stały obiektyw 3,06 mm (107,7" H, 59,0 V), WDR 120 dB, H.265/H.264/MJPEG, pokaz slajdów i wideo na żywo, karty Micro SD/SDHC/SDXC, zgodność ze standardem VESA (100 x 100 / 200 x 100 / 200 x 200), czarna obudowa, tryb widoku na korytarzu, obsługa wyświetlania w orientacji pionowej i poziomej, HPoE 802.3bt, prąd stały 24 V. ***Zasilacz nie jest dołączony***</v>
      </c>
      <c r="K752" s="43" t="s">
        <v>21</v>
      </c>
      <c r="L752" s="128">
        <v>1850.0</v>
      </c>
      <c r="M752" s="8"/>
      <c r="N752" s="45" t="s">
        <v>22</v>
      </c>
      <c r="O752" s="97"/>
      <c r="P752" s="35"/>
      <c r="Q752" s="35"/>
      <c r="R752" s="68"/>
      <c r="S752" s="68"/>
      <c r="T752" s="68"/>
      <c r="U752" s="35"/>
      <c r="V752" s="35"/>
      <c r="W752" s="35"/>
      <c r="X752" s="35"/>
      <c r="Y752" s="35"/>
      <c r="Z752" s="35"/>
      <c r="AA752" s="35"/>
      <c r="AB752" s="35"/>
      <c r="AC752" s="101"/>
      <c r="AD752" s="98"/>
      <c r="AE752" s="98"/>
      <c r="AF752" s="98"/>
      <c r="AG752" s="98"/>
      <c r="AH752" s="98"/>
      <c r="AI752" s="98"/>
      <c r="AJ752" s="98"/>
      <c r="AK752" s="98"/>
      <c r="AL752" s="98"/>
      <c r="AM752" s="98"/>
      <c r="AN752" s="98"/>
      <c r="AO752" s="98"/>
      <c r="AP752" s="98"/>
    </row>
    <row r="753" ht="75.0" customHeight="1">
      <c r="A753" s="29"/>
      <c r="B753" s="38" t="s">
        <v>2020</v>
      </c>
      <c r="C753" s="40" t="s">
        <v>2034</v>
      </c>
      <c r="D753" s="40" t="s">
        <v>2035</v>
      </c>
      <c r="E753" s="40"/>
      <c r="F753" s="40"/>
      <c r="G753" s="39" t="s">
        <v>2023</v>
      </c>
      <c r="H753" s="41" t="s">
        <v>79</v>
      </c>
      <c r="I753" s="48" t="s">
        <v>2036</v>
      </c>
      <c r="J753" s="42" t="str">
        <f>IFERROR(__xludf.DUMMYFUNCTION("GOOGLETRANSLATE(I753,""en"",""pl"")"),"10,1-calowy monitor IP z obsługą sztucznej inteligencji (AI PVM), kolor czarny, 1080p (1024x600 @60Hz), HDMI, Ethernet, współczynnik proporcji 16:9, wbudowany głośnik (8 omów, 1 W x 2), montaż zgodny ze standardem VESA (75 x 75 mm), wyświetlacz z funkcją "&amp;"wykrywania twarzy i obiektów AI w celu wizualnego odstraszania, obsługa OSD, pokazu slajdów i obrazu logo. Wbudowana kamera IP 2 MP, stały obiektyw 3,06 mm (107,7"" H i 59,0 V), WDR 120 dB, H.265/H.264/MJPEG, pokaz slajdów i wideo na żywo, PoE+ 802.3at, D"&amp;"C 24 V. ***Zasilacz nie jest dołączony***")</f>
        <v>10,1-calowy monitor IP z obsługą sztucznej inteligencji (AI PVM), kolor czarny, 1080p (1024x600 @60Hz), HDMI, Ethernet, współczynnik proporcji 16:9, wbudowany głośnik (8 omów, 1 W x 2), montaż zgodny ze standardem VESA (75 x 75 mm), wyświetlacz z funkcją wykrywania twarzy i obiektów AI w celu wizualnego odstraszania, obsługa OSD, pokazu slajdów i obrazu logo. Wbudowana kamera IP 2 MP, stały obiektyw 3,06 mm (107,7" H i 59,0 V), WDR 120 dB, H.265/H.264/MJPEG, pokaz slajdów i wideo na żywo, PoE+ 802.3at, DC 24 V. ***Zasilacz nie jest dołączony***</v>
      </c>
      <c r="K753" s="43" t="s">
        <v>21</v>
      </c>
      <c r="L753" s="44">
        <v>1000.0</v>
      </c>
      <c r="M753" s="8"/>
      <c r="N753" s="45" t="s">
        <v>22</v>
      </c>
      <c r="O753" s="97"/>
      <c r="P753" s="36"/>
      <c r="Q753" s="35"/>
      <c r="R753" s="68"/>
      <c r="S753" s="68"/>
      <c r="T753" s="68"/>
      <c r="U753" s="35"/>
      <c r="V753" s="35"/>
      <c r="W753" s="35"/>
      <c r="X753" s="35"/>
      <c r="Y753" s="35"/>
      <c r="Z753" s="35"/>
      <c r="AA753" s="35"/>
      <c r="AB753" s="35"/>
      <c r="AC753" s="60"/>
      <c r="AD753" s="85"/>
      <c r="AE753" s="85"/>
      <c r="AF753" s="85"/>
      <c r="AG753" s="85"/>
      <c r="AH753" s="85"/>
      <c r="AI753" s="85"/>
      <c r="AJ753" s="85"/>
      <c r="AK753" s="85"/>
      <c r="AL753" s="85"/>
      <c r="AM753" s="85"/>
      <c r="AN753" s="85"/>
      <c r="AO753" s="85"/>
      <c r="AP753" s="85"/>
    </row>
    <row r="754" ht="75.0" customHeight="1">
      <c r="A754" s="29"/>
      <c r="B754" s="38" t="s">
        <v>2020</v>
      </c>
      <c r="C754" s="40" t="s">
        <v>2037</v>
      </c>
      <c r="D754" s="40" t="s">
        <v>2038</v>
      </c>
      <c r="E754" s="40"/>
      <c r="F754" s="40"/>
      <c r="G754" s="39" t="s">
        <v>2023</v>
      </c>
      <c r="H754" s="41" t="s">
        <v>79</v>
      </c>
      <c r="I754" s="48" t="s">
        <v>2039</v>
      </c>
      <c r="J754" s="42" t="str">
        <f>IFERROR(__xludf.DUMMYFUNCTION("GOOGLETRANSLATE(I754,""en"",""pl"")"),"Monitor IP z obsługą sztucznej inteligencji (AI PVM) o przekątnej 10,1 cala, kolor biały, rozdzielczość 1080p (1024x600 przy 60 Hz), HDMI, Ethernet, proporcje obrazu 16:9, wbudowany głośnik (8 omów, 1 W x 2), montaż zgodny ze standardem VESA (75 x 75 mm),"&amp;" funkcja wykrywania twarzy i obiektów za pomocą sztucznej inteligencji w celu wizualnego odstraszania, obsługa OSD, pokazu slajdów i obrazu logo. Wbudowana kamera IP 2 MP, obiektyw stałoogniskowy 3,06 mm (107,7 cala wysokości i 59,0 V), WDR 120 dB, H.265/"&amp;"H.264/MJPEG, pokaz slajdów i transmisja wideo na żywo, PoE+ 802.3at, prąd stały 24 V. ***Zasilacz nie jest dołączony***")</f>
        <v>Monitor IP z obsługą sztucznej inteligencji (AI PVM) o przekątnej 10,1 cala, kolor biały, rozdzielczość 1080p (1024x600 przy 60 Hz), HDMI, Ethernet, proporcje obrazu 16:9, wbudowany głośnik (8 omów, 1 W x 2), montaż zgodny ze standardem VESA (75 x 75 mm), funkcja wykrywania twarzy i obiektów za pomocą sztucznej inteligencji w celu wizualnego odstraszania, obsługa OSD, pokazu slajdów i obrazu logo. Wbudowana kamera IP 2 MP, obiektyw stałoogniskowy 3,06 mm (107,7 cala wysokości i 59,0 V), WDR 120 dB, H.265/H.264/MJPEG, pokaz slajdów i transmisja wideo na żywo, PoE+ 802.3at, prąd stały 24 V. ***Zasilacz nie jest dołączony***</v>
      </c>
      <c r="K754" s="43" t="s">
        <v>21</v>
      </c>
      <c r="L754" s="44">
        <v>1000.0</v>
      </c>
      <c r="M754" s="8"/>
      <c r="N754" s="45" t="s">
        <v>22</v>
      </c>
      <c r="O754" s="97"/>
      <c r="P754" s="35"/>
      <c r="Q754" s="35"/>
      <c r="R754" s="68"/>
      <c r="S754" s="68"/>
      <c r="T754" s="68"/>
      <c r="U754" s="35"/>
      <c r="V754" s="35"/>
      <c r="W754" s="35"/>
      <c r="X754" s="35"/>
      <c r="Y754" s="35"/>
      <c r="Z754" s="35"/>
      <c r="AA754" s="35"/>
      <c r="AB754" s="35"/>
      <c r="AC754" s="101"/>
      <c r="AD754" s="98"/>
      <c r="AE754" s="98"/>
      <c r="AF754" s="98"/>
      <c r="AG754" s="98"/>
      <c r="AH754" s="98"/>
      <c r="AI754" s="98"/>
      <c r="AJ754" s="98"/>
      <c r="AK754" s="98"/>
      <c r="AL754" s="98"/>
      <c r="AM754" s="98"/>
      <c r="AN754" s="98"/>
      <c r="AO754" s="98"/>
      <c r="AP754" s="98"/>
    </row>
    <row r="755" ht="75.0" customHeight="1">
      <c r="A755" s="29"/>
      <c r="B755" s="38" t="s">
        <v>2020</v>
      </c>
      <c r="C755" s="39" t="s">
        <v>2040</v>
      </c>
      <c r="D755" s="40" t="s">
        <v>2041</v>
      </c>
      <c r="E755" s="40"/>
      <c r="F755" s="40"/>
      <c r="G755" s="39" t="s">
        <v>2020</v>
      </c>
      <c r="H755" s="41" t="s">
        <v>79</v>
      </c>
      <c r="I755" s="48" t="s">
        <v>2042</v>
      </c>
      <c r="J755" s="42" t="str">
        <f>IFERROR(__xludf.DUMMYFUNCTION("GOOGLETRANSLATE(I755,""en"",""pl"")"),"Monitor LED UHD 32"", 4K UHD (3840 x 2160), HDMI, DP, proporcje obrazu 16:9, współczynnik kontrastu 1000:1, czas reakcji 14 ms, żywotność panelu 30 000 godz., złącze audio, zgodność ze standardem VESA DPM (100 x 100 mm, 400 x 200 mm), zaprojektowany i prz"&amp;"etestowany pod kątem pracy 24/7")</f>
        <v>Monitor LED UHD 32", 4K UHD (3840 x 2160), HDMI, DP, proporcje obrazu 16:9, współczynnik kontrastu 1000:1, czas reakcji 14 ms, żywotność panelu 30 000 godz., złącze audio, zgodność ze standardem VESA DPM (100 x 100 mm, 400 x 200 mm), zaprojektowany i przetestowany pod kątem pracy 24/7</v>
      </c>
      <c r="K755" s="43" t="s">
        <v>21</v>
      </c>
      <c r="L755" s="44">
        <v>1820.0</v>
      </c>
      <c r="M755" s="8"/>
      <c r="N755" s="45" t="s">
        <v>22</v>
      </c>
      <c r="O755" s="97"/>
      <c r="P755" s="36"/>
      <c r="Q755" s="35"/>
      <c r="R755" s="68"/>
      <c r="S755" s="68"/>
      <c r="T755" s="68"/>
      <c r="U755" s="35"/>
      <c r="V755" s="35"/>
      <c r="W755" s="35"/>
      <c r="X755" s="35"/>
      <c r="Y755" s="35"/>
      <c r="Z755" s="35"/>
      <c r="AA755" s="35"/>
      <c r="AB755" s="35"/>
      <c r="AC755" s="101"/>
      <c r="AD755" s="98"/>
      <c r="AE755" s="98"/>
      <c r="AF755" s="98"/>
      <c r="AG755" s="98"/>
      <c r="AH755" s="98"/>
      <c r="AI755" s="85"/>
      <c r="AJ755" s="85"/>
      <c r="AK755" s="85"/>
      <c r="AL755" s="85"/>
      <c r="AM755" s="85"/>
      <c r="AN755" s="85"/>
      <c r="AO755" s="85"/>
      <c r="AP755" s="85"/>
    </row>
    <row r="756" ht="75.0" customHeight="1">
      <c r="A756" s="29"/>
      <c r="B756" s="38" t="s">
        <v>2020</v>
      </c>
      <c r="C756" s="39" t="s">
        <v>2043</v>
      </c>
      <c r="D756" s="40" t="s">
        <v>2044</v>
      </c>
      <c r="E756" s="40"/>
      <c r="F756" s="40"/>
      <c r="G756" s="39" t="s">
        <v>2020</v>
      </c>
      <c r="H756" s="41" t="s">
        <v>79</v>
      </c>
      <c r="I756" s="48" t="s">
        <v>2045</v>
      </c>
      <c r="J756" s="42" t="str">
        <f>IFERROR(__xludf.DUMMYFUNCTION("GOOGLETRANSLATE(I756,""en"",""pl"")"),"Monitor LED UHD 27"", 4K UHD (3840 × 2160), 300 cd/m², kontrast 1200:1, kąt widzenia 178°/178°, czas reakcji 14 ms, HDMI, DP, dwa okna PIP/PBP, zaprojektowany i przetestowany pod kątem pracy 24/7")</f>
        <v>Monitor LED UHD 27", 4K UHD (3840 × 2160), 300 cd/m², kontrast 1200:1, kąt widzenia 178°/178°, czas reakcji 14 ms, HDMI, DP, dwa okna PIP/PBP, zaprojektowany i przetestowany pod kątem pracy 24/7</v>
      </c>
      <c r="K756" s="43" t="s">
        <v>21</v>
      </c>
      <c r="L756" s="44">
        <v>1660.0</v>
      </c>
      <c r="M756" s="8"/>
      <c r="N756" s="45" t="s">
        <v>22</v>
      </c>
      <c r="O756" s="97"/>
      <c r="P756" s="36"/>
      <c r="Q756" s="35"/>
      <c r="R756" s="68"/>
      <c r="S756" s="68"/>
      <c r="T756" s="68"/>
      <c r="U756" s="35"/>
      <c r="V756" s="35"/>
      <c r="W756" s="35"/>
      <c r="X756" s="35"/>
      <c r="Y756" s="35"/>
      <c r="Z756" s="35"/>
      <c r="AA756" s="35"/>
      <c r="AB756" s="35"/>
      <c r="AC756" s="101"/>
      <c r="AD756" s="98"/>
      <c r="AE756" s="98"/>
      <c r="AF756" s="98"/>
      <c r="AG756" s="98"/>
      <c r="AH756" s="98"/>
      <c r="AI756" s="85"/>
      <c r="AJ756" s="85"/>
      <c r="AK756" s="85"/>
      <c r="AL756" s="85"/>
      <c r="AM756" s="85"/>
      <c r="AN756" s="85"/>
      <c r="AO756" s="85"/>
      <c r="AP756" s="85"/>
    </row>
    <row r="757" ht="75.0" customHeight="1">
      <c r="A757" s="29"/>
      <c r="B757" s="116" t="s">
        <v>2020</v>
      </c>
      <c r="C757" s="117" t="s">
        <v>2046</v>
      </c>
      <c r="D757" s="118" t="s">
        <v>2047</v>
      </c>
      <c r="E757" s="118"/>
      <c r="F757" s="118"/>
      <c r="G757" s="117" t="s">
        <v>2020</v>
      </c>
      <c r="H757" s="41" t="s">
        <v>19</v>
      </c>
      <c r="I757" s="134" t="s">
        <v>2048</v>
      </c>
      <c r="J757" s="42" t="str">
        <f>IFERROR(__xludf.DUMMYFUNCTION("GOOGLETRANSLATE(I757,""en"",""pl"")"),"Monitor LED FHD 32"", 1080p (1920x1080), HDMI, DP, VGA, proporcje obrazu 16:9, wbudowane głośniki (2 W x 2), zgodność ze standardem VESA DPM (100x100 mm), zaprojektowany i przetestowany pod kątem pracy 24/7")</f>
        <v>Monitor LED FHD 32", 1080p (1920x1080), HDMI, DP, VGA, proporcje obrazu 16:9, wbudowane głośniki (2 W x 2), zgodność ze standardem VESA DPM (100x100 mm), zaprojektowany i przetestowany pod kątem pracy 24/7</v>
      </c>
      <c r="K757" s="135" t="s">
        <v>21</v>
      </c>
      <c r="L757" s="122">
        <v>1600.0</v>
      </c>
      <c r="M757" s="8"/>
      <c r="N757" s="45" t="s">
        <v>22</v>
      </c>
      <c r="O757" s="97"/>
      <c r="P757" s="35"/>
      <c r="Q757" s="35"/>
      <c r="R757" s="68"/>
      <c r="S757" s="68"/>
      <c r="T757" s="68"/>
      <c r="U757" s="35"/>
      <c r="V757" s="35"/>
      <c r="W757" s="35"/>
      <c r="X757" s="35"/>
      <c r="Y757" s="35"/>
      <c r="Z757" s="35"/>
      <c r="AA757" s="35"/>
      <c r="AB757" s="35"/>
      <c r="AC757" s="101"/>
      <c r="AD757" s="98"/>
      <c r="AE757" s="98"/>
      <c r="AF757" s="98"/>
      <c r="AG757" s="98"/>
      <c r="AH757" s="98"/>
      <c r="AI757" s="98"/>
      <c r="AJ757" s="98"/>
      <c r="AK757" s="98"/>
      <c r="AL757" s="98"/>
      <c r="AM757" s="98"/>
      <c r="AN757" s="98"/>
      <c r="AO757" s="98"/>
      <c r="AP757" s="98"/>
    </row>
    <row r="758" ht="75.0" customHeight="1">
      <c r="A758" s="29"/>
      <c r="B758" s="38" t="s">
        <v>2020</v>
      </c>
      <c r="C758" s="39" t="s">
        <v>2049</v>
      </c>
      <c r="D758" s="40" t="s">
        <v>2050</v>
      </c>
      <c r="E758" s="40"/>
      <c r="F758" s="40"/>
      <c r="G758" s="39" t="s">
        <v>2020</v>
      </c>
      <c r="H758" s="41" t="s">
        <v>79</v>
      </c>
      <c r="I758" s="48" t="s">
        <v>2051</v>
      </c>
      <c r="J758" s="42" t="str">
        <f>IFERROR(__xludf.DUMMYFUNCTION("GOOGLETRANSLATE(I758,""en"",""pl"")"),"Monitor LED FHD 27"", 1080p (1920×1080), 250 cd/m², kontrast 4000:1, kąt widzenia 178°/178°, czas reakcji 6,5 ms, HDMI, DP, VGA, zaprojektowany i przetestowany pod kątem pracy 24/7")</f>
        <v>Monitor LED FHD 27", 1080p (1920×1080), 250 cd/m², kontrast 4000:1, kąt widzenia 178°/178°, czas reakcji 6,5 ms, HDMI, DP, VGA, zaprojektowany i przetestowany pod kątem pracy 24/7</v>
      </c>
      <c r="K758" s="43" t="s">
        <v>21</v>
      </c>
      <c r="L758" s="44">
        <v>1330.0</v>
      </c>
      <c r="M758" s="8"/>
      <c r="N758" s="45" t="s">
        <v>22</v>
      </c>
      <c r="O758" s="97"/>
      <c r="P758" s="36"/>
      <c r="Q758" s="35"/>
      <c r="R758" s="68"/>
      <c r="S758" s="68"/>
      <c r="T758" s="68"/>
      <c r="U758" s="35"/>
      <c r="V758" s="35"/>
      <c r="W758" s="35"/>
      <c r="X758" s="35"/>
      <c r="Y758" s="35"/>
      <c r="Z758" s="35"/>
      <c r="AA758" s="35"/>
      <c r="AB758" s="35"/>
      <c r="AC758" s="60"/>
      <c r="AD758" s="85"/>
      <c r="AE758" s="85"/>
      <c r="AF758" s="85"/>
      <c r="AG758" s="85"/>
      <c r="AH758" s="85"/>
      <c r="AI758" s="85"/>
      <c r="AJ758" s="85"/>
      <c r="AK758" s="85"/>
      <c r="AL758" s="85"/>
      <c r="AM758" s="85"/>
      <c r="AN758" s="85"/>
      <c r="AO758" s="85"/>
      <c r="AP758" s="85"/>
    </row>
    <row r="759" ht="46.5" customHeight="1">
      <c r="A759" s="29"/>
      <c r="B759" s="38" t="s">
        <v>2020</v>
      </c>
      <c r="C759" s="39" t="s">
        <v>2052</v>
      </c>
      <c r="D759" s="40" t="s">
        <v>2053</v>
      </c>
      <c r="E759" s="40"/>
      <c r="F759" s="40"/>
      <c r="G759" s="39" t="s">
        <v>2020</v>
      </c>
      <c r="H759" s="41" t="s">
        <v>79</v>
      </c>
      <c r="I759" s="48" t="s">
        <v>2054</v>
      </c>
      <c r="J759" s="42" t="str">
        <f>IFERROR(__xludf.DUMMYFUNCTION("GOOGLETRANSLATE(I759,""en"",""pl"")"),"27-calowy monitor FHD z wbudowanym 64-kanałowym dekoderem wideo IP, wyjściem wideo HDMI x1 (FHD), trybami klonowania i rozszerzania, obsługiwaną rozdzielczością kamery: do 4K, maksymalną wydajnością dekodowania: 2x8MP@30kl./s, 12x2MP@30kl./s, ONVIF, SUNAP"&amp;"I, RTSP, kodekiem H.265/H.264/MJPEG, do 20 układów, sekwencjonowaniem, wbudowanymi głośnikami (1W x2), Ethernetem 10/100/1000 Mb/s, zgodnością ze standardem VESA DPMS (100x100 mm/200x200 mm/200x100 mm), czarną metalową obudową, podwójnym redundantnym zasi"&amp;"laniem (HPoE 802.3bt, DC 24 V), zgodnością z NDAA.
***Podstawka monitora i zasilacze nie są dołączone***
Opcjonalne akcesoria: zasilacz HPoE (SPO-8315), zasilacz DC24V (SPU-60241), podstawka pod monitor (SBM-4343)")</f>
        <v>27-calowy monitor FHD z wbudowanym 64-kanałowym dekoderem wideo IP, wyjściem wideo HDMI x1 (FHD), trybami klonowania i rozszerzania, obsługiwaną rozdzielczością kamery: do 4K, maksymalną wydajnością dekodowania: 2x8MP@30kl./s, 12x2MP@30kl./s, ONVIF, SUNAPI, RTSP, kodekiem H.265/H.264/MJPEG, do 20 układów, sekwencjonowaniem, wbudowanymi głośnikami (1W x2), Ethernetem 10/100/1000 Mb/s, zgodnością ze standardem VESA DPMS (100x100 mm/200x200 mm/200x100 mm), czarną metalową obudową, podwójnym redundantnym zasilaniem (HPoE 802.3bt, DC 24 V), zgodnością z NDAA.
***Podstawka monitora i zasilacze nie są dołączone***
Opcjonalne akcesoria: zasilacz HPoE (SPO-8315), zasilacz DC24V (SPU-60241), podstawka pod monitor (SBM-4343)</v>
      </c>
      <c r="K759" s="43" t="s">
        <v>21</v>
      </c>
      <c r="L759" s="44">
        <v>1999.0</v>
      </c>
      <c r="M759" s="8"/>
      <c r="N759" s="45" t="s">
        <v>22</v>
      </c>
      <c r="O759" s="97"/>
      <c r="P759" s="36"/>
      <c r="Q759" s="35"/>
      <c r="R759" s="68"/>
      <c r="S759" s="68"/>
      <c r="T759" s="68"/>
      <c r="U759" s="35"/>
      <c r="V759" s="35"/>
      <c r="W759" s="35"/>
      <c r="X759" s="35"/>
      <c r="Y759" s="35"/>
      <c r="Z759" s="35"/>
      <c r="AA759" s="35"/>
      <c r="AB759" s="35"/>
      <c r="AC759" s="60"/>
      <c r="AD759" s="85"/>
      <c r="AE759" s="85"/>
      <c r="AF759" s="85"/>
      <c r="AG759" s="85"/>
      <c r="AH759" s="85"/>
      <c r="AI759" s="85"/>
      <c r="AJ759" s="85"/>
      <c r="AK759" s="85"/>
      <c r="AL759" s="85"/>
      <c r="AM759" s="85"/>
      <c r="AN759" s="85"/>
      <c r="AO759" s="85"/>
      <c r="AP759" s="85"/>
    </row>
    <row r="760" ht="75.0" customHeight="1">
      <c r="A760" s="29"/>
      <c r="B760" s="38" t="s">
        <v>2020</v>
      </c>
      <c r="C760" s="39" t="s">
        <v>2055</v>
      </c>
      <c r="D760" s="40" t="s">
        <v>2056</v>
      </c>
      <c r="E760" s="40"/>
      <c r="F760" s="40"/>
      <c r="G760" s="39" t="s">
        <v>2020</v>
      </c>
      <c r="H760" s="41" t="s">
        <v>79</v>
      </c>
      <c r="I760" s="48" t="s">
        <v>2057</v>
      </c>
      <c r="J760" s="42" t="str">
        <f>IFERROR(__xludf.DUMMYFUNCTION("GOOGLETRANSLATE(I760,""en"",""pl"")"),"24-calowy monitor LED FHD, konstrukcja bezramkowa, obsługa rozdzielczości do 1920 x 1080, współczynnik kontrastu 4000:1, kąt widzenia (poziom/pion) 178°/178°, czas reakcji 14 ms, wejście wideo HDMI i VGA, zaprojektowany i przetestowany pod kątem pracy 24/"&amp;"7")</f>
        <v>24-calowy monitor LED FHD, konstrukcja bezramkowa, obsługa rozdzielczości do 1920 x 1080, współczynnik kontrastu 4000:1, kąt widzenia (poziom/pion) 178°/178°, czas reakcji 14 ms, wejście wideo HDMI i VGA, zaprojektowany i przetestowany pod kątem pracy 24/7</v>
      </c>
      <c r="K760" s="43" t="s">
        <v>21</v>
      </c>
      <c r="L760" s="44">
        <v>990.0</v>
      </c>
      <c r="M760" s="8"/>
      <c r="N760" s="45" t="s">
        <v>22</v>
      </c>
      <c r="O760" s="97"/>
      <c r="P760" s="36"/>
      <c r="Q760" s="35"/>
      <c r="R760" s="68"/>
      <c r="S760" s="68"/>
      <c r="T760" s="68"/>
      <c r="U760" s="35"/>
      <c r="V760" s="35"/>
      <c r="W760" s="35"/>
      <c r="X760" s="35"/>
      <c r="Y760" s="35"/>
      <c r="Z760" s="35"/>
      <c r="AA760" s="35"/>
      <c r="AB760" s="35"/>
      <c r="AC760" s="60"/>
      <c r="AD760" s="85"/>
      <c r="AE760" s="85"/>
      <c r="AF760" s="85"/>
      <c r="AG760" s="85"/>
      <c r="AH760" s="85"/>
      <c r="AI760" s="85"/>
      <c r="AJ760" s="85"/>
      <c r="AK760" s="85"/>
      <c r="AL760" s="85"/>
      <c r="AM760" s="85"/>
      <c r="AN760" s="85"/>
      <c r="AO760" s="85"/>
      <c r="AP760" s="85"/>
    </row>
    <row r="761" ht="75.0" customHeight="1">
      <c r="A761" s="29"/>
      <c r="B761" s="38" t="s">
        <v>2020</v>
      </c>
      <c r="C761" s="39" t="s">
        <v>2058</v>
      </c>
      <c r="D761" s="40" t="s">
        <v>2059</v>
      </c>
      <c r="E761" s="40"/>
      <c r="F761" s="40"/>
      <c r="G761" s="39" t="s">
        <v>2020</v>
      </c>
      <c r="H761" s="41" t="s">
        <v>79</v>
      </c>
      <c r="I761" s="48" t="s">
        <v>2060</v>
      </c>
      <c r="J761" s="42" t="str">
        <f>IFERROR(__xludf.DUMMYFUNCTION("GOOGLETRANSLATE(I761,""en"",""pl"")"),"22-calowy monitor LED FHD, konstrukcja bezramkowa, obsługa rozdzielczości do 1920 x 1080, współczynnik kontrastu 3000:1, kąt widzenia (poziom/pion) 178°/178°, czas reakcji 6,5 ms, wejście wideo HDMI i VGA, zaprojektowany i przetestowany pod kątem pracy 24"&amp;"/7")</f>
        <v>22-calowy monitor LED FHD, konstrukcja bezramkowa, obsługa rozdzielczości do 1920 x 1080, współczynnik kontrastu 3000:1, kąt widzenia (poziom/pion) 178°/178°, czas reakcji 6,5 ms, wejście wideo HDMI i VGA, zaprojektowany i przetestowany pod kątem pracy 24/7</v>
      </c>
      <c r="K761" s="43" t="s">
        <v>21</v>
      </c>
      <c r="L761" s="44">
        <v>840.0</v>
      </c>
      <c r="M761" s="8"/>
      <c r="N761" s="45" t="s">
        <v>22</v>
      </c>
      <c r="O761" s="97"/>
      <c r="P761" s="36"/>
      <c r="Q761" s="35"/>
      <c r="R761" s="68"/>
      <c r="S761" s="68"/>
      <c r="T761" s="68"/>
      <c r="U761" s="35"/>
      <c r="V761" s="35"/>
      <c r="W761" s="35"/>
      <c r="X761" s="35"/>
      <c r="Y761" s="35"/>
      <c r="Z761" s="35"/>
      <c r="AA761" s="35"/>
      <c r="AB761" s="35"/>
      <c r="AC761" s="60"/>
      <c r="AD761" s="85"/>
      <c r="AE761" s="85"/>
      <c r="AF761" s="85"/>
      <c r="AG761" s="85"/>
      <c r="AH761" s="85"/>
      <c r="AI761" s="85"/>
      <c r="AJ761" s="85"/>
      <c r="AK761" s="85"/>
      <c r="AL761" s="85"/>
      <c r="AM761" s="85"/>
      <c r="AN761" s="85"/>
      <c r="AO761" s="85"/>
      <c r="AP761" s="85"/>
    </row>
    <row r="762" ht="75.0" customHeight="1">
      <c r="A762" s="29"/>
      <c r="B762" s="38" t="s">
        <v>2061</v>
      </c>
      <c r="C762" s="39" t="s">
        <v>2062</v>
      </c>
      <c r="D762" s="40" t="s">
        <v>2063</v>
      </c>
      <c r="E762" s="40"/>
      <c r="F762" s="40"/>
      <c r="G762" s="39"/>
      <c r="H762" s="41" t="s">
        <v>19</v>
      </c>
      <c r="I762" s="42" t="s">
        <v>2064</v>
      </c>
      <c r="J762" s="42" t="str">
        <f>IFERROR(__xludf.DUMMYFUNCTION("GOOGLETRANSLATE(I762,""en"",""pl"")"),"Podstawka pod pojedynczy monitor, kompatybilna z monitorem SMT-4343, SMT-2721D, kolor czarny, montaż VESA 100x100")</f>
        <v>Podstawka pod pojedynczy monitor, kompatybilna z monitorem SMT-4343, SMT-2721D, kolor czarny, montaż VESA 100x100</v>
      </c>
      <c r="K762" s="43" t="s">
        <v>21</v>
      </c>
      <c r="L762" s="44">
        <v>110.0</v>
      </c>
      <c r="M762" s="8"/>
      <c r="N762" s="45" t="s">
        <v>22</v>
      </c>
      <c r="O762" s="97"/>
      <c r="P762" s="35"/>
      <c r="Q762" s="35"/>
      <c r="R762" s="68"/>
      <c r="S762" s="68"/>
      <c r="T762" s="68"/>
      <c r="U762" s="35"/>
      <c r="V762" s="35"/>
      <c r="W762" s="35"/>
      <c r="X762" s="35"/>
      <c r="Y762" s="35"/>
      <c r="Z762" s="35"/>
      <c r="AA762" s="35"/>
      <c r="AB762" s="35"/>
      <c r="AC762" s="60"/>
      <c r="AD762" s="85"/>
      <c r="AE762" s="85"/>
      <c r="AF762" s="85"/>
      <c r="AG762" s="85"/>
      <c r="AH762" s="85"/>
      <c r="AI762" s="98"/>
      <c r="AJ762" s="98"/>
      <c r="AK762" s="98"/>
      <c r="AL762" s="98"/>
      <c r="AM762" s="98"/>
      <c r="AN762" s="98"/>
      <c r="AO762" s="98"/>
      <c r="AP762" s="98"/>
    </row>
    <row r="763" ht="75.0" customHeight="1">
      <c r="A763" s="29"/>
      <c r="B763" s="38" t="s">
        <v>2065</v>
      </c>
      <c r="C763" s="39" t="s">
        <v>2066</v>
      </c>
      <c r="D763" s="40" t="s">
        <v>2067</v>
      </c>
      <c r="E763" s="40"/>
      <c r="F763" s="40"/>
      <c r="G763" s="39"/>
      <c r="H763" s="41" t="s">
        <v>19</v>
      </c>
      <c r="I763" s="48" t="s">
        <v>2068</v>
      </c>
      <c r="J763" s="42" t="str">
        <f>IFERROR(__xludf.DUMMYFUNCTION("GOOGLETRANSLATE(I763,""en"",""pl"")"),"Zasilacz 60 W, 24 V DC kompatybilny z SMT-3221PV / SMT-3231PV / SMT-2721PV / SMT-2731PV / SMT-1031PV / SMT-1031PVW / SMT-2721D")</f>
        <v>Zasilacz 60 W, 24 V DC kompatybilny z SMT-3221PV / SMT-3231PV / SMT-2721PV / SMT-2731PV / SMT-1031PV / SMT-1031PVW / SMT-2721D</v>
      </c>
      <c r="K763" s="43" t="s">
        <v>21</v>
      </c>
      <c r="L763" s="44">
        <v>99.0</v>
      </c>
      <c r="M763" s="8"/>
      <c r="N763" s="45" t="s">
        <v>22</v>
      </c>
      <c r="O763" s="97"/>
      <c r="P763" s="35"/>
      <c r="Q763" s="35"/>
      <c r="R763" s="68"/>
      <c r="S763" s="68"/>
      <c r="T763" s="68"/>
      <c r="U763" s="35"/>
      <c r="V763" s="35"/>
      <c r="W763" s="35"/>
      <c r="X763" s="35"/>
      <c r="Y763" s="35"/>
      <c r="Z763" s="35"/>
      <c r="AA763" s="35"/>
      <c r="AB763" s="35"/>
      <c r="AC763" s="60"/>
      <c r="AD763" s="85"/>
      <c r="AE763" s="85"/>
      <c r="AF763" s="85"/>
      <c r="AG763" s="85"/>
      <c r="AH763" s="85"/>
      <c r="AI763" s="98"/>
      <c r="AJ763" s="98"/>
      <c r="AK763" s="98"/>
      <c r="AL763" s="98"/>
      <c r="AM763" s="98"/>
      <c r="AN763" s="98"/>
      <c r="AO763" s="98"/>
      <c r="AP763" s="98"/>
    </row>
    <row r="764" ht="30.0" customHeight="1">
      <c r="A764" s="29"/>
      <c r="B764" s="129" t="s">
        <v>2069</v>
      </c>
      <c r="C764" s="113"/>
      <c r="D764" s="113"/>
      <c r="E764" s="113"/>
      <c r="F764" s="113"/>
      <c r="G764" s="113"/>
      <c r="H764" s="113"/>
      <c r="I764" s="113"/>
      <c r="J764" s="42" t="str">
        <f>IFERROR(__xludf.DUMMYFUNCTION("GOOGLETRANSLATE(I764,""en"",""pl"")"),"#VALUE!")</f>
        <v>#VALUE!</v>
      </c>
      <c r="K764" s="94"/>
      <c r="L764" s="114"/>
      <c r="M764" s="115"/>
      <c r="N764" s="96"/>
      <c r="O764" s="83"/>
      <c r="P764" s="36"/>
      <c r="Q764" s="35"/>
      <c r="R764" s="68"/>
      <c r="S764" s="68"/>
      <c r="T764" s="68"/>
      <c r="U764" s="35"/>
      <c r="V764" s="35"/>
      <c r="W764" s="35"/>
      <c r="X764" s="35"/>
      <c r="Y764" s="35"/>
      <c r="Z764" s="35"/>
      <c r="AA764" s="35"/>
      <c r="AB764" s="35"/>
      <c r="AC764" s="60"/>
      <c r="AD764" s="85"/>
      <c r="AE764" s="85"/>
      <c r="AF764" s="85"/>
      <c r="AG764" s="85"/>
      <c r="AH764" s="85"/>
      <c r="AI764" s="85"/>
      <c r="AJ764" s="85"/>
      <c r="AK764" s="85"/>
      <c r="AL764" s="85"/>
      <c r="AM764" s="85"/>
      <c r="AN764" s="85"/>
      <c r="AO764" s="85"/>
      <c r="AP764" s="85"/>
    </row>
    <row r="765" ht="49.5" customHeight="1">
      <c r="A765" s="29"/>
      <c r="B765" s="38" t="s">
        <v>2070</v>
      </c>
      <c r="C765" s="39" t="s">
        <v>2071</v>
      </c>
      <c r="D765" s="40" t="s">
        <v>2072</v>
      </c>
      <c r="E765" s="40"/>
      <c r="F765" s="40"/>
      <c r="G765" s="40" t="s">
        <v>2072</v>
      </c>
      <c r="H765" s="41" t="s">
        <v>79</v>
      </c>
      <c r="I765" s="48" t="s">
        <v>2073</v>
      </c>
      <c r="J765" s="42" t="str">
        <f>IFERROR(__xludf.DUMMYFUNCTION("GOOGLETRANSLATE(I765,""en"",""pl"")"),"Kontroler, 3-osiowy, 12-przyciskowy joystick USB do rejestratorów NVR WAVE SSM i Wisenet Viewer")</f>
        <v>Kontroler, 3-osiowy, 12-przyciskowy joystick USB do rejestratorów NVR WAVE SSM i Wisenet Viewer</v>
      </c>
      <c r="K765" s="43" t="s">
        <v>21</v>
      </c>
      <c r="L765" s="44">
        <v>985.0</v>
      </c>
      <c r="M765" s="8"/>
      <c r="N765" s="45" t="s">
        <v>22</v>
      </c>
      <c r="O765" s="97"/>
      <c r="P765" s="36"/>
      <c r="Q765" s="35"/>
      <c r="R765" s="68"/>
      <c r="S765" s="68"/>
      <c r="T765" s="68"/>
      <c r="U765" s="35"/>
      <c r="V765" s="35"/>
      <c r="W765" s="35"/>
      <c r="X765" s="35"/>
      <c r="Y765" s="35"/>
      <c r="Z765" s="35"/>
      <c r="AA765" s="35"/>
      <c r="AB765" s="35"/>
      <c r="AC765" s="60"/>
      <c r="AD765" s="85"/>
      <c r="AE765" s="85"/>
      <c r="AF765" s="85"/>
      <c r="AG765" s="85"/>
      <c r="AH765" s="85"/>
      <c r="AI765" s="85"/>
      <c r="AJ765" s="85"/>
      <c r="AK765" s="85"/>
      <c r="AL765" s="85"/>
      <c r="AM765" s="85"/>
      <c r="AN765" s="85"/>
      <c r="AO765" s="85"/>
      <c r="AP765" s="85"/>
    </row>
    <row r="766" ht="49.5" customHeight="1">
      <c r="A766" s="29"/>
      <c r="B766" s="38" t="s">
        <v>2070</v>
      </c>
      <c r="C766" s="39" t="s">
        <v>2074</v>
      </c>
      <c r="D766" s="40" t="s">
        <v>2072</v>
      </c>
      <c r="E766" s="40"/>
      <c r="F766" s="40"/>
      <c r="G766" s="40" t="s">
        <v>2072</v>
      </c>
      <c r="H766" s="127" t="s">
        <v>920</v>
      </c>
      <c r="I766" s="48" t="s">
        <v>2075</v>
      </c>
      <c r="J766" s="42" t="str">
        <f>IFERROR(__xludf.DUMMYFUNCTION("GOOGLETRANSLATE(I766,""en"",""pl"")"),"Kontroler, klawiatura systemu IP z ekranem dotykowym TFT LCD, wymienny joystick 3D i pokrętło jog dla użytkowników lewo- lub praworęcznych, RS-485, DVR/NVR, sterowanie matrycą i PTZ, wejście/wyjście wideo 1-kanałowe, SSM wyłącznie przez interfejs USB.")</f>
        <v>Kontroler, klawiatura systemu IP z ekranem dotykowym TFT LCD, wymienny joystick 3D i pokrętło jog dla użytkowników lewo- lub praworęcznych, RS-485, DVR/NVR, sterowanie matrycą i PTZ, wejście/wyjście wideo 1-kanałowe, SSM wyłącznie przez interfejs USB.</v>
      </c>
      <c r="K766" s="43"/>
      <c r="L766" s="44">
        <v>1300.0</v>
      </c>
      <c r="M766" s="8"/>
      <c r="N766" s="45" t="s">
        <v>22</v>
      </c>
      <c r="O766" s="97"/>
      <c r="P766" s="35"/>
      <c r="Q766" s="35"/>
      <c r="R766" s="68"/>
      <c r="S766" s="68"/>
      <c r="T766" s="68"/>
      <c r="U766" s="35"/>
      <c r="V766" s="35"/>
      <c r="W766" s="35"/>
      <c r="X766" s="35"/>
      <c r="Y766" s="35"/>
      <c r="Z766" s="35"/>
      <c r="AA766" s="35"/>
      <c r="AB766" s="35"/>
      <c r="AC766" s="101"/>
      <c r="AD766" s="98"/>
      <c r="AE766" s="98"/>
      <c r="AF766" s="98"/>
      <c r="AG766" s="98"/>
      <c r="AH766" s="98"/>
      <c r="AI766" s="98"/>
      <c r="AJ766" s="98"/>
      <c r="AK766" s="98"/>
      <c r="AL766" s="98"/>
      <c r="AM766" s="98"/>
      <c r="AN766" s="98"/>
      <c r="AO766" s="98"/>
      <c r="AP766" s="98"/>
    </row>
    <row r="767" ht="49.5" customHeight="1">
      <c r="A767" s="29"/>
      <c r="B767" s="38" t="s">
        <v>2070</v>
      </c>
      <c r="C767" s="39" t="s">
        <v>2076</v>
      </c>
      <c r="D767" s="40" t="s">
        <v>2072</v>
      </c>
      <c r="E767" s="40"/>
      <c r="F767" s="40"/>
      <c r="G767" s="40" t="s">
        <v>2072</v>
      </c>
      <c r="H767" s="41" t="s">
        <v>79</v>
      </c>
      <c r="I767" s="48" t="s">
        <v>2077</v>
      </c>
      <c r="J767" s="42" t="str">
        <f>IFERROR(__xludf.DUMMYFUNCTION("GOOGLETRANSLATE(I767,""en"",""pl"")"),"Kontroler, joystick 3D, wyświetlacz LCD z 2 wierszami tekstu, wbudowany pokrętłem, obsługa do 255 kamer PTZ/zoom, RS-485, rejestrator DVR, obsługa wielu protokołów")</f>
        <v>Kontroler, joystick 3D, wyświetlacz LCD z 2 wierszami tekstu, wbudowany pokrętłem, obsługa do 255 kamer PTZ/zoom, RS-485, rejestrator DVR, obsługa wielu protokołów</v>
      </c>
      <c r="K767" s="43" t="s">
        <v>21</v>
      </c>
      <c r="L767" s="44">
        <v>833.0</v>
      </c>
      <c r="M767" s="8"/>
      <c r="N767" s="45" t="s">
        <v>22</v>
      </c>
      <c r="O767" s="97"/>
      <c r="P767" s="36"/>
      <c r="Q767" s="35"/>
      <c r="R767" s="68"/>
      <c r="S767" s="68"/>
      <c r="T767" s="68"/>
      <c r="U767" s="35"/>
      <c r="V767" s="35"/>
      <c r="W767" s="35"/>
      <c r="X767" s="35"/>
      <c r="Y767" s="35"/>
      <c r="Z767" s="35"/>
      <c r="AA767" s="35"/>
      <c r="AB767" s="35"/>
      <c r="AC767" s="60"/>
      <c r="AD767" s="85"/>
      <c r="AE767" s="85"/>
      <c r="AF767" s="85"/>
      <c r="AG767" s="85"/>
      <c r="AH767" s="85"/>
      <c r="AI767" s="85"/>
      <c r="AJ767" s="85"/>
      <c r="AK767" s="85"/>
      <c r="AL767" s="85"/>
      <c r="AM767" s="85"/>
      <c r="AN767" s="85"/>
      <c r="AO767" s="85"/>
      <c r="AP767" s="85"/>
    </row>
    <row r="768" ht="49.5" customHeight="1">
      <c r="A768" s="29"/>
      <c r="B768" s="102" t="s">
        <v>2070</v>
      </c>
      <c r="C768" s="103" t="s">
        <v>2078</v>
      </c>
      <c r="D768" s="104" t="s">
        <v>2072</v>
      </c>
      <c r="E768" s="104"/>
      <c r="F768" s="104"/>
      <c r="G768" s="104" t="s">
        <v>2072</v>
      </c>
      <c r="H768" s="105" t="s">
        <v>79</v>
      </c>
      <c r="I768" s="106" t="s">
        <v>2079</v>
      </c>
      <c r="J768" s="42" t="str">
        <f>IFERROR(__xludf.DUMMYFUNCTION("GOOGLETRANSLATE(I768,""en"",""pl"")"),"Kontroler, kontroler joysticka PTZ, 2-wierszowy wyświetlacz LCD z tekstem, do 255 kamer PTZ/zoom, RS-485")</f>
        <v>Kontroler, kontroler joysticka PTZ, 2-wierszowy wyświetlacz LCD z tekstem, do 255 kamer PTZ/zoom, RS-485</v>
      </c>
      <c r="K768" s="100" t="s">
        <v>21</v>
      </c>
      <c r="L768" s="44">
        <v>461.0</v>
      </c>
      <c r="M768" s="8"/>
      <c r="N768" s="45" t="s">
        <v>22</v>
      </c>
      <c r="O768" s="97"/>
      <c r="P768" s="36"/>
      <c r="Q768" s="35"/>
      <c r="R768" s="68"/>
      <c r="S768" s="68"/>
      <c r="T768" s="68"/>
      <c r="U768" s="35"/>
      <c r="V768" s="35"/>
      <c r="W768" s="35"/>
      <c r="X768" s="35"/>
      <c r="Y768" s="35"/>
      <c r="Z768" s="35"/>
      <c r="AA768" s="35"/>
      <c r="AB768" s="35"/>
      <c r="AC768" s="60"/>
      <c r="AD768" s="85"/>
      <c r="AE768" s="85"/>
      <c r="AF768" s="85"/>
      <c r="AG768" s="85"/>
      <c r="AH768" s="85"/>
      <c r="AI768" s="85"/>
      <c r="AJ768" s="85"/>
      <c r="AK768" s="85"/>
      <c r="AL768" s="85"/>
      <c r="AM768" s="85"/>
      <c r="AN768" s="85"/>
      <c r="AO768" s="85"/>
      <c r="AP768" s="85"/>
    </row>
    <row r="769" ht="30.0" customHeight="1">
      <c r="A769" s="29"/>
      <c r="B769" s="129" t="s">
        <v>2080</v>
      </c>
      <c r="C769" s="113"/>
      <c r="D769" s="113"/>
      <c r="E769" s="113"/>
      <c r="F769" s="113"/>
      <c r="G769" s="113"/>
      <c r="H769" s="113"/>
      <c r="I769" s="113"/>
      <c r="J769" s="42" t="str">
        <f>IFERROR(__xludf.DUMMYFUNCTION("GOOGLETRANSLATE(I769,""en"",""pl"")"),"#VALUE!")</f>
        <v>#VALUE!</v>
      </c>
      <c r="K769" s="94"/>
      <c r="L769" s="114"/>
      <c r="M769" s="115"/>
      <c r="N769" s="96"/>
      <c r="O769" s="83"/>
      <c r="P769" s="36"/>
      <c r="Q769" s="35"/>
      <c r="R769" s="68"/>
      <c r="S769" s="68"/>
      <c r="T769" s="68"/>
      <c r="U769" s="35"/>
      <c r="V769" s="35"/>
      <c r="W769" s="35"/>
      <c r="X769" s="35"/>
      <c r="Y769" s="35"/>
      <c r="Z769" s="35"/>
      <c r="AA769" s="35"/>
      <c r="AB769" s="35"/>
      <c r="AC769" s="60"/>
      <c r="AD769" s="85"/>
      <c r="AE769" s="85"/>
      <c r="AF769" s="85"/>
      <c r="AG769" s="85"/>
      <c r="AH769" s="85"/>
      <c r="AI769" s="85"/>
      <c r="AJ769" s="85"/>
      <c r="AK769" s="85"/>
      <c r="AL769" s="85"/>
      <c r="AM769" s="85"/>
      <c r="AN769" s="85"/>
      <c r="AO769" s="85"/>
      <c r="AP769" s="85"/>
    </row>
    <row r="770" ht="112.5" customHeight="1">
      <c r="A770" s="29"/>
      <c r="B770" s="38" t="s">
        <v>13</v>
      </c>
      <c r="C770" s="39" t="s">
        <v>2081</v>
      </c>
      <c r="D770" s="40" t="s">
        <v>2082</v>
      </c>
      <c r="E770" s="40" t="s">
        <v>16</v>
      </c>
      <c r="F770" s="40" t="s">
        <v>2083</v>
      </c>
      <c r="G770" s="39" t="s">
        <v>18</v>
      </c>
      <c r="H770" s="41" t="s">
        <v>19</v>
      </c>
      <c r="I770" s="42" t="s">
        <v>2084</v>
      </c>
      <c r="J770" s="42" t="str">
        <f>IFERROR(__xludf.DUMMYFUNCTION("GOOGLETRANSLATE(I770,""en"",""pl"")"),"Kamera sieciowa BCR (czytnik kodów kreskowych) serii T do odczytu kodów kreskowych i monitoringu wideo. Monochromatyczna: 4K, kolorowa: 4K. Maks. 20 kl./s w rozdzielczości 4K MONO/KOLOR każda. Obiektyw wizyjny 16 mm. Wyjmowany i wymienny moduł LED (domyśl"&amp;"nie 32 diody LED). Śledzenie kodów kreskowych na taśmie przenośnika o dużej prędkości poruszającej się z prędkością 2 m/s (6,5 stopy/s). Preinstalowana aplikacja WiseBCR obsługuje rozpoznawanie kodów kreskowych 1D/2D. Kontrola wilgotności za pomocą nawiew"&amp;"u AIR. EN 60068-2-6 (odporność na wibracje), EN 60068-2-27 (odporność na wstrząsy). Temperatura pracy: od -40°C do +55°C, IP67, IK10, 24 V DC, maks. 28,6 W (dioda włączona), typowo 13,7 W (dioda wyłączona). Akcesoria dostępne do kupienia osobno – kabel Et"&amp;"hernet M12 (2/5/10 m), kabel zasilający M12 (2/5/10 m) i zasilacz 24 V DC dla Wielkiej Brytanii i UE")</f>
        <v>Kamera sieciowa BCR (czytnik kodów kreskowych) serii T do odczytu kodów kreskowych i monitoringu wideo. Monochromatyczna: 4K, kolorowa: 4K. Maks. 20 kl./s w rozdzielczości 4K MONO/KOLOR każda. Obiektyw wizyjny 16 mm. Wyjmowany i wymienny moduł LED (domyślnie 32 diody LED). Śledzenie kodów kreskowych na taśmie przenośnika o dużej prędkości poruszającej się z prędkością 2 m/s (6,5 stopy/s). Preinstalowana aplikacja WiseBCR obsługuje rozpoznawanie kodów kreskowych 1D/2D. Kontrola wilgotności za pomocą nawiewu AIR. EN 60068-2-6 (odporność na wibracje), EN 60068-2-27 (odporność na wstrząsy). Temperatura pracy: od -40°C do +55°C, IP67, IK10, 24 V DC, maks. 28,6 W (dioda włączona), typowo 13,7 W (dioda wyłączona). Akcesoria dostępne do kupienia osobno – kabel Ethernet M12 (2/5/10 m), kabel zasilający M12 (2/5/10 m) i zasilacz 24 V DC dla Wielkiej Brytanii i UE</v>
      </c>
      <c r="K770" s="43" t="s">
        <v>21</v>
      </c>
      <c r="L770" s="44">
        <v>9500.0</v>
      </c>
      <c r="M770" s="8"/>
      <c r="N770" s="45" t="s">
        <v>22</v>
      </c>
      <c r="O770" s="97"/>
      <c r="P770" s="36"/>
      <c r="Q770" s="35"/>
      <c r="R770" s="68"/>
      <c r="S770" s="68"/>
      <c r="T770" s="68"/>
      <c r="U770" s="35"/>
      <c r="V770" s="35"/>
      <c r="W770" s="35"/>
      <c r="X770" s="35"/>
      <c r="Y770" s="35"/>
      <c r="Z770" s="35"/>
      <c r="AA770" s="35"/>
      <c r="AB770" s="35"/>
      <c r="AC770" s="60"/>
      <c r="AD770" s="85"/>
      <c r="AE770" s="85"/>
      <c r="AF770" s="85"/>
      <c r="AG770" s="85"/>
      <c r="AH770" s="85"/>
      <c r="AI770" s="85"/>
      <c r="AJ770" s="85"/>
      <c r="AK770" s="85"/>
      <c r="AL770" s="85"/>
      <c r="AM770" s="85"/>
      <c r="AN770" s="85"/>
      <c r="AO770" s="85"/>
      <c r="AP770" s="85"/>
    </row>
    <row r="771" ht="112.5" customHeight="1">
      <c r="A771" s="29"/>
      <c r="B771" s="38" t="s">
        <v>13</v>
      </c>
      <c r="C771" s="39" t="s">
        <v>2085</v>
      </c>
      <c r="D771" s="40" t="s">
        <v>2082</v>
      </c>
      <c r="E771" s="40" t="s">
        <v>16</v>
      </c>
      <c r="F771" s="40" t="s">
        <v>2083</v>
      </c>
      <c r="G771" s="39" t="s">
        <v>18</v>
      </c>
      <c r="H771" s="41" t="s">
        <v>19</v>
      </c>
      <c r="I771" s="42" t="s">
        <v>2086</v>
      </c>
      <c r="J771" s="42" t="str">
        <f>IFERROR(__xludf.DUMMYFUNCTION("GOOGLETRANSLATE(I771,""en"",""pl"")"),"Kamera sieciowa BCR (czytnik kodów kreskowych) serii T do odczytu kodów kreskowych i monitoringu wideo. Monochromatyczna: 4K, kolorowa: 4K. Maks. 20 kl./s w rozdzielczości 4K MONO/KOLOR każda. Obiektyw wizyjny 25 mm. Wyjmowany i wymienny moduł LED (domyśl"&amp;"nie 32 diody LED). Śledzenie kodów kreskowych na taśmie przenośnika o dużej prędkości poruszającej się z prędkością 2 m/s (6,5 stopy/s). Preinstalowana aplikacja WiseBCR obsługuje rozpoznawanie kodów kreskowych 1D/2D. Kontrola wilgotności za pomocą nawiew"&amp;"u AIR. EN 60068-2-6 (odporność na wibracje), EN 60068-2-27 (odporność na wstrząsy). Temperatura pracy: od -40°C do +55°C, IP67, IK10, 24 V DC, maks. 28,6 W (dioda włączona), typowo 13,7 W (dioda wyłączona). Akcesoria dostępne do kupienia osobno – kabel Et"&amp;"hernet M12 (2/5/10 m), kabel zasilający M12 (2/5/10 m) i zasilacz 24 V DC dla Wielkiej Brytanii i UE")</f>
        <v>Kamera sieciowa BCR (czytnik kodów kreskowych) serii T do odczytu kodów kreskowych i monitoringu wideo. Monochromatyczna: 4K, kolorowa: 4K. Maks. 20 kl./s w rozdzielczości 4K MONO/KOLOR każda. Obiektyw wizyjny 25 mm. Wyjmowany i wymienny moduł LED (domyślnie 32 diody LED). Śledzenie kodów kreskowych na taśmie przenośnika o dużej prędkości poruszającej się z prędkością 2 m/s (6,5 stopy/s). Preinstalowana aplikacja WiseBCR obsługuje rozpoznawanie kodów kreskowych 1D/2D. Kontrola wilgotności za pomocą nawiewu AIR. EN 60068-2-6 (odporność na wibracje), EN 60068-2-27 (odporność na wstrząsy). Temperatura pracy: od -40°C do +55°C, IP67, IK10, 24 V DC, maks. 28,6 W (dioda włączona), typowo 13,7 W (dioda wyłączona). Akcesoria dostępne do kupienia osobno – kabel Ethernet M12 (2/5/10 m), kabel zasilający M12 (2/5/10 m) i zasilacz 24 V DC dla Wielkiej Brytanii i UE</v>
      </c>
      <c r="K771" s="43" t="s">
        <v>21</v>
      </c>
      <c r="L771" s="44">
        <v>9500.0</v>
      </c>
      <c r="M771" s="8"/>
      <c r="N771" s="45" t="s">
        <v>22</v>
      </c>
      <c r="O771" s="97"/>
      <c r="P771" s="36"/>
      <c r="Q771" s="35"/>
      <c r="R771" s="68"/>
      <c r="S771" s="68"/>
      <c r="T771" s="68"/>
      <c r="U771" s="35"/>
      <c r="V771" s="35"/>
      <c r="W771" s="35"/>
      <c r="X771" s="35"/>
      <c r="Y771" s="35"/>
      <c r="Z771" s="35"/>
      <c r="AA771" s="35"/>
      <c r="AB771" s="35"/>
      <c r="AC771" s="60"/>
      <c r="AD771" s="85"/>
      <c r="AE771" s="85"/>
      <c r="AF771" s="85"/>
      <c r="AG771" s="85"/>
      <c r="AH771" s="85"/>
      <c r="AI771" s="85"/>
      <c r="AJ771" s="85"/>
      <c r="AK771" s="85"/>
      <c r="AL771" s="85"/>
      <c r="AM771" s="85"/>
      <c r="AN771" s="85"/>
      <c r="AO771" s="85"/>
      <c r="AP771" s="85"/>
    </row>
    <row r="772" ht="112.5" customHeight="1">
      <c r="A772" s="29"/>
      <c r="B772" s="38" t="s">
        <v>13</v>
      </c>
      <c r="C772" s="39" t="s">
        <v>2087</v>
      </c>
      <c r="D772" s="40" t="s">
        <v>2082</v>
      </c>
      <c r="E772" s="40" t="s">
        <v>16</v>
      </c>
      <c r="F772" s="40" t="s">
        <v>2083</v>
      </c>
      <c r="G772" s="39" t="s">
        <v>18</v>
      </c>
      <c r="H772" s="41" t="s">
        <v>19</v>
      </c>
      <c r="I772" s="42" t="s">
        <v>2088</v>
      </c>
      <c r="J772" s="42" t="str">
        <f>IFERROR(__xludf.DUMMYFUNCTION("GOOGLETRANSLATE(I772,""en"",""pl"")"),"Kamera sieciowa BCR (czytnik kodów kreskowych) serii T do odczytu kodów kreskowych i monitoringu wideo. Monochromatyczna: 4K, kolorowa: 4K. Maks. 20 kl./s w rozdzielczości 4K MONO/KOLOR każda. Obiektyw wizyjny 35 mm. Wyjmowany i wymienny moduł LED (domyśl"&amp;"nie 48 diod LED). Śledzenie kodów kreskowych na taśmie przenośnika o dużej prędkości poruszającej się z prędkością 2 m/s (6,5 stopy/s). Preinstalowana aplikacja WiseBCR obsługuje rozpoznawanie kodów kreskowych 1D/2D. Kontrola wilgotności za pomocą nawiewu"&amp;" AIR. EN 60068-2-6 (odporność na wibracje), EN 60068-2-27 (odporność na wstrząsy). Temperatura pracy: od -40°C do +55°C, IP67, IK10, 24 V DC, maks. 35,4 W (dioda włączona), typowo 13,7 W (dioda wyłączona). Akcesoria dostępne do kupienia osobno – kabel Eth"&amp;"ernet M12 (2/5/10 m), kabel zasilający M12 (2/5/10 m) i zasilacz 24 V DC dla Wielkiej Brytanii i UE")</f>
        <v>Kamera sieciowa BCR (czytnik kodów kreskowych) serii T do odczytu kodów kreskowych i monitoringu wideo. Monochromatyczna: 4K, kolorowa: 4K. Maks. 20 kl./s w rozdzielczości 4K MONO/KOLOR każda. Obiektyw wizyjny 35 mm. Wyjmowany i wymienny moduł LED (domyślnie 48 diod LED). Śledzenie kodów kreskowych na taśmie przenośnika o dużej prędkości poruszającej się z prędkością 2 m/s (6,5 stopy/s). Preinstalowana aplikacja WiseBCR obsługuje rozpoznawanie kodów kreskowych 1D/2D. Kontrola wilgotności za pomocą nawiewu AIR. EN 60068-2-6 (odporność na wibracje), EN 60068-2-27 (odporność na wstrząsy). Temperatura pracy: od -40°C do +55°C, IP67, IK10, 24 V DC, maks. 35,4 W (dioda włączona), typowo 13,7 W (dioda wyłączona). Akcesoria dostępne do kupienia osobno – kabel Ethernet M12 (2/5/10 m), kabel zasilający M12 (2/5/10 m) i zasilacz 24 V DC dla Wielkiej Brytanii i UE</v>
      </c>
      <c r="K772" s="43" t="s">
        <v>21</v>
      </c>
      <c r="L772" s="44">
        <v>9500.0</v>
      </c>
      <c r="M772" s="8"/>
      <c r="N772" s="45" t="s">
        <v>22</v>
      </c>
      <c r="O772" s="97"/>
      <c r="P772" s="36"/>
      <c r="Q772" s="35"/>
      <c r="R772" s="68"/>
      <c r="S772" s="68"/>
      <c r="T772" s="68"/>
      <c r="U772" s="35"/>
      <c r="V772" s="35"/>
      <c r="W772" s="35"/>
      <c r="X772" s="35"/>
      <c r="Y772" s="35"/>
      <c r="Z772" s="35"/>
      <c r="AA772" s="35"/>
      <c r="AB772" s="35"/>
      <c r="AC772" s="60"/>
      <c r="AD772" s="85"/>
      <c r="AE772" s="85"/>
      <c r="AF772" s="85"/>
      <c r="AG772" s="85"/>
      <c r="AH772" s="85"/>
      <c r="AI772" s="85"/>
      <c r="AJ772" s="85"/>
      <c r="AK772" s="85"/>
      <c r="AL772" s="85"/>
      <c r="AM772" s="85"/>
      <c r="AN772" s="85"/>
      <c r="AO772" s="85"/>
      <c r="AP772" s="85"/>
    </row>
    <row r="773" ht="46.5" customHeight="1">
      <c r="A773" s="29"/>
      <c r="B773" s="136" t="s">
        <v>13</v>
      </c>
      <c r="C773" s="137" t="s">
        <v>14</v>
      </c>
      <c r="D773" s="138" t="s">
        <v>15</v>
      </c>
      <c r="E773" s="138" t="s">
        <v>16</v>
      </c>
      <c r="F773" s="138" t="s">
        <v>17</v>
      </c>
      <c r="G773" s="137" t="s">
        <v>18</v>
      </c>
      <c r="H773" s="139" t="s">
        <v>19</v>
      </c>
      <c r="I773" s="140" t="s">
        <v>2089</v>
      </c>
      <c r="J773" s="42" t="str">
        <f>IFERROR(__xludf.DUMMYFUNCTION("GOOGLETRANSLATE(I773,""en"",""pl"")"),"Kamera sieciowa monochromatyczna BCR serii T o rozdzielczości 3 MP, maks. 50 kl./s przy rozdzielczości 3 MP. Aplikacja WiseBCR obsługuje rozpoznawanie kodów kreskowych. Obecnie rozpoznawane są kody kreskowe 1D/2D (Code128 / Codabar / Interleaved 2 z 5), z"&amp;"łącze Ethernet M12 8 pin, IEC 60068-2-6 (odporność na wibracje), IEC 60068-2-27 (odporność na wstrząsy). Temperatura pracy: od -40°C do +55°C, IP67, IK10, 24 V DC. (Akcesoria nie są dołączone).")</f>
        <v>Kamera sieciowa monochromatyczna BCR serii T o rozdzielczości 3 MP, maks. 50 kl./s przy rozdzielczości 3 MP. Aplikacja WiseBCR obsługuje rozpoznawanie kodów kreskowych. Obecnie rozpoznawane są kody kreskowe 1D/2D (Code128 / Codabar / Interleaved 2 z 5), złącze Ethernet M12 8 pin, IEC 60068-2-6 (odporność na wibracje), IEC 60068-2-27 (odporność na wstrząsy). Temperatura pracy: od -40°C do +55°C, IP67, IK10, 24 V DC. (Akcesoria nie są dołączone).</v>
      </c>
      <c r="K773" s="141" t="s">
        <v>21</v>
      </c>
      <c r="L773" s="142">
        <v>2510.0</v>
      </c>
      <c r="M773" s="8"/>
      <c r="N773" s="45" t="s">
        <v>22</v>
      </c>
      <c r="O773" s="97"/>
      <c r="P773" s="36"/>
      <c r="Q773" s="35"/>
      <c r="R773" s="68"/>
      <c r="S773" s="68"/>
      <c r="T773" s="68"/>
      <c r="U773" s="35"/>
      <c r="V773" s="35"/>
      <c r="W773" s="35"/>
      <c r="X773" s="35"/>
      <c r="Y773" s="35"/>
      <c r="Z773" s="35"/>
      <c r="AA773" s="35"/>
      <c r="AB773" s="35"/>
      <c r="AC773" s="60"/>
      <c r="AD773" s="85"/>
      <c r="AE773" s="85"/>
      <c r="AF773" s="85"/>
      <c r="AG773" s="85"/>
      <c r="AH773" s="85"/>
      <c r="AI773" s="85"/>
      <c r="AJ773" s="85"/>
      <c r="AK773" s="85"/>
      <c r="AL773" s="85"/>
      <c r="AM773" s="85"/>
      <c r="AN773" s="85"/>
      <c r="AO773" s="85"/>
      <c r="AP773" s="85"/>
    </row>
    <row r="774" ht="45.0" customHeight="1">
      <c r="A774" s="29"/>
      <c r="B774" s="136" t="s">
        <v>23</v>
      </c>
      <c r="C774" s="137" t="s">
        <v>24</v>
      </c>
      <c r="D774" s="138" t="s">
        <v>25</v>
      </c>
      <c r="E774" s="138"/>
      <c r="F774" s="138"/>
      <c r="G774" s="137" t="s">
        <v>26</v>
      </c>
      <c r="H774" s="139" t="s">
        <v>19</v>
      </c>
      <c r="I774" s="140" t="s">
        <v>27</v>
      </c>
      <c r="J774" s="42" t="str">
        <f>IFERROR(__xludf.DUMMYFUNCTION("GOOGLETRANSLATE(I774,""en"",""pl"")"),"Obiektyw 6 mm do kamer Mono BCR")</f>
        <v>Obiektyw 6 mm do kamer Mono BCR</v>
      </c>
      <c r="K774" s="141" t="s">
        <v>21</v>
      </c>
      <c r="L774" s="142">
        <v>300.0</v>
      </c>
      <c r="M774" s="8"/>
      <c r="N774" s="45" t="s">
        <v>22</v>
      </c>
      <c r="O774" s="97"/>
      <c r="P774" s="36"/>
      <c r="Q774" s="35"/>
      <c r="R774" s="68"/>
      <c r="S774" s="68"/>
      <c r="T774" s="68"/>
      <c r="U774" s="35"/>
      <c r="V774" s="35"/>
      <c r="W774" s="35"/>
      <c r="X774" s="35"/>
      <c r="Y774" s="35"/>
      <c r="Z774" s="35"/>
      <c r="AA774" s="35"/>
      <c r="AB774" s="35"/>
      <c r="AC774" s="60"/>
      <c r="AD774" s="85"/>
      <c r="AE774" s="85"/>
      <c r="AF774" s="85"/>
      <c r="AG774" s="85"/>
      <c r="AH774" s="85"/>
      <c r="AI774" s="85"/>
      <c r="AJ774" s="85"/>
      <c r="AK774" s="85"/>
      <c r="AL774" s="85"/>
      <c r="AM774" s="85"/>
      <c r="AN774" s="85"/>
      <c r="AO774" s="85"/>
      <c r="AP774" s="85"/>
    </row>
    <row r="775" ht="45.0" customHeight="1">
      <c r="A775" s="29"/>
      <c r="B775" s="136" t="s">
        <v>23</v>
      </c>
      <c r="C775" s="137" t="s">
        <v>28</v>
      </c>
      <c r="D775" s="138" t="s">
        <v>25</v>
      </c>
      <c r="E775" s="138"/>
      <c r="F775" s="138"/>
      <c r="G775" s="137" t="s">
        <v>26</v>
      </c>
      <c r="H775" s="139" t="s">
        <v>19</v>
      </c>
      <c r="I775" s="140" t="s">
        <v>29</v>
      </c>
      <c r="J775" s="42" t="str">
        <f>IFERROR(__xludf.DUMMYFUNCTION("GOOGLETRANSLATE(I775,""en"",""pl"")"),"Obiektyw 8 mm do aparatów Mono BCR")</f>
        <v>Obiektyw 8 mm do aparatów Mono BCR</v>
      </c>
      <c r="K775" s="141" t="s">
        <v>21</v>
      </c>
      <c r="L775" s="142">
        <v>300.0</v>
      </c>
      <c r="M775" s="8"/>
      <c r="N775" s="45" t="s">
        <v>22</v>
      </c>
      <c r="O775" s="97"/>
      <c r="P775" s="36"/>
      <c r="Q775" s="35"/>
      <c r="R775" s="68"/>
      <c r="S775" s="68"/>
      <c r="T775" s="68"/>
      <c r="U775" s="35"/>
      <c r="V775" s="35"/>
      <c r="W775" s="35"/>
      <c r="X775" s="35"/>
      <c r="Y775" s="35"/>
      <c r="Z775" s="35"/>
      <c r="AA775" s="35"/>
      <c r="AB775" s="35"/>
      <c r="AC775" s="60"/>
      <c r="AD775" s="85"/>
      <c r="AE775" s="85"/>
      <c r="AF775" s="85"/>
      <c r="AG775" s="85"/>
      <c r="AH775" s="85"/>
      <c r="AI775" s="85"/>
      <c r="AJ775" s="85"/>
      <c r="AK775" s="85"/>
      <c r="AL775" s="85"/>
      <c r="AM775" s="85"/>
      <c r="AN775" s="85"/>
      <c r="AO775" s="85"/>
      <c r="AP775" s="85"/>
    </row>
    <row r="776" ht="45.0" customHeight="1">
      <c r="A776" s="29"/>
      <c r="B776" s="136" t="s">
        <v>23</v>
      </c>
      <c r="C776" s="137" t="s">
        <v>30</v>
      </c>
      <c r="D776" s="138" t="s">
        <v>25</v>
      </c>
      <c r="E776" s="138"/>
      <c r="F776" s="138"/>
      <c r="G776" s="137" t="s">
        <v>26</v>
      </c>
      <c r="H776" s="139" t="s">
        <v>19</v>
      </c>
      <c r="I776" s="140" t="s">
        <v>31</v>
      </c>
      <c r="J776" s="42" t="str">
        <f>IFERROR(__xludf.DUMMYFUNCTION("GOOGLETRANSLATE(I776,""en"",""pl"")"),"Obiektyw 12 mm do kamer Mono BCR")</f>
        <v>Obiektyw 12 mm do kamer Mono BCR</v>
      </c>
      <c r="K776" s="141" t="s">
        <v>21</v>
      </c>
      <c r="L776" s="142">
        <v>300.0</v>
      </c>
      <c r="M776" s="8"/>
      <c r="N776" s="45" t="s">
        <v>22</v>
      </c>
      <c r="O776" s="97"/>
      <c r="P776" s="36"/>
      <c r="Q776" s="35"/>
      <c r="R776" s="68"/>
      <c r="S776" s="68"/>
      <c r="T776" s="68"/>
      <c r="U776" s="35"/>
      <c r="V776" s="35"/>
      <c r="W776" s="35"/>
      <c r="X776" s="35"/>
      <c r="Y776" s="35"/>
      <c r="Z776" s="35"/>
      <c r="AA776" s="35"/>
      <c r="AB776" s="35"/>
      <c r="AC776" s="60"/>
      <c r="AD776" s="85"/>
      <c r="AE776" s="85"/>
      <c r="AF776" s="85"/>
      <c r="AG776" s="85"/>
      <c r="AH776" s="85"/>
      <c r="AI776" s="85"/>
      <c r="AJ776" s="85"/>
      <c r="AK776" s="85"/>
      <c r="AL776" s="85"/>
      <c r="AM776" s="85"/>
      <c r="AN776" s="85"/>
      <c r="AO776" s="85"/>
      <c r="AP776" s="85"/>
    </row>
    <row r="777" ht="45.0" customHeight="1">
      <c r="A777" s="29"/>
      <c r="B777" s="136" t="s">
        <v>23</v>
      </c>
      <c r="C777" s="137" t="s">
        <v>32</v>
      </c>
      <c r="D777" s="138" t="s">
        <v>25</v>
      </c>
      <c r="E777" s="138"/>
      <c r="F777" s="138"/>
      <c r="G777" s="137" t="s">
        <v>26</v>
      </c>
      <c r="H777" s="139" t="s">
        <v>19</v>
      </c>
      <c r="I777" s="140" t="s">
        <v>33</v>
      </c>
      <c r="J777" s="42" t="str">
        <f>IFERROR(__xludf.DUMMYFUNCTION("GOOGLETRANSLATE(I777,""en"",""pl"")"),"Obiektyw 16 mm do kamer Mono BCR")</f>
        <v>Obiektyw 16 mm do kamer Mono BCR</v>
      </c>
      <c r="K777" s="141" t="s">
        <v>21</v>
      </c>
      <c r="L777" s="142">
        <v>300.0</v>
      </c>
      <c r="M777" s="8"/>
      <c r="N777" s="45" t="s">
        <v>22</v>
      </c>
      <c r="O777" s="97"/>
      <c r="P777" s="36"/>
      <c r="Q777" s="35"/>
      <c r="R777" s="68"/>
      <c r="S777" s="68"/>
      <c r="T777" s="68"/>
      <c r="U777" s="35"/>
      <c r="V777" s="35"/>
      <c r="W777" s="35"/>
      <c r="X777" s="35"/>
      <c r="Y777" s="35"/>
      <c r="Z777" s="35"/>
      <c r="AA777" s="35"/>
      <c r="AB777" s="35"/>
      <c r="AC777" s="60"/>
      <c r="AD777" s="85"/>
      <c r="AE777" s="85"/>
      <c r="AF777" s="85"/>
      <c r="AG777" s="85"/>
      <c r="AH777" s="85"/>
      <c r="AI777" s="85"/>
      <c r="AJ777" s="85"/>
      <c r="AK777" s="85"/>
      <c r="AL777" s="85"/>
      <c r="AM777" s="85"/>
      <c r="AN777" s="85"/>
      <c r="AO777" s="85"/>
      <c r="AP777" s="85"/>
    </row>
    <row r="778" ht="45.0" customHeight="1">
      <c r="A778" s="29"/>
      <c r="B778" s="136" t="s">
        <v>23</v>
      </c>
      <c r="C778" s="137" t="s">
        <v>34</v>
      </c>
      <c r="D778" s="138" t="s">
        <v>25</v>
      </c>
      <c r="E778" s="138"/>
      <c r="F778" s="138"/>
      <c r="G778" s="137" t="s">
        <v>26</v>
      </c>
      <c r="H778" s="139" t="s">
        <v>19</v>
      </c>
      <c r="I778" s="140" t="s">
        <v>35</v>
      </c>
      <c r="J778" s="42" t="str">
        <f>IFERROR(__xludf.DUMMYFUNCTION("GOOGLETRANSLATE(I778,""en"",""pl"")"),"Obiektyw 25 mm do aparatów Mono BCR")</f>
        <v>Obiektyw 25 mm do aparatów Mono BCR</v>
      </c>
      <c r="K778" s="141" t="s">
        <v>21</v>
      </c>
      <c r="L778" s="142">
        <v>300.0</v>
      </c>
      <c r="M778" s="8"/>
      <c r="N778" s="45" t="s">
        <v>22</v>
      </c>
      <c r="O778" s="97"/>
      <c r="P778" s="36"/>
      <c r="Q778" s="35"/>
      <c r="R778" s="68"/>
      <c r="S778" s="68"/>
      <c r="T778" s="68"/>
      <c r="U778" s="35"/>
      <c r="V778" s="35"/>
      <c r="W778" s="35"/>
      <c r="X778" s="35"/>
      <c r="Y778" s="35"/>
      <c r="Z778" s="35"/>
      <c r="AA778" s="35"/>
      <c r="AB778" s="35"/>
      <c r="AC778" s="60"/>
      <c r="AD778" s="85"/>
      <c r="AE778" s="85"/>
      <c r="AF778" s="85"/>
      <c r="AG778" s="85"/>
      <c r="AH778" s="85"/>
      <c r="AI778" s="85"/>
      <c r="AJ778" s="85"/>
      <c r="AK778" s="85"/>
      <c r="AL778" s="85"/>
      <c r="AM778" s="85"/>
      <c r="AN778" s="85"/>
      <c r="AO778" s="85"/>
      <c r="AP778" s="85"/>
    </row>
    <row r="779" ht="45.0" customHeight="1">
      <c r="A779" s="29"/>
      <c r="B779" s="136" t="s">
        <v>23</v>
      </c>
      <c r="C779" s="137" t="s">
        <v>36</v>
      </c>
      <c r="D779" s="138" t="s">
        <v>37</v>
      </c>
      <c r="E779" s="138"/>
      <c r="F779" s="138"/>
      <c r="G779" s="137" t="s">
        <v>38</v>
      </c>
      <c r="H779" s="139" t="s">
        <v>19</v>
      </c>
      <c r="I779" s="140" t="s">
        <v>39</v>
      </c>
      <c r="J779" s="42" t="str">
        <f>IFERROR(__xludf.DUMMYFUNCTION("GOOGLETRANSLATE(I779,""en"",""pl"")"),"Uchwyt obrotowy do kamer Mono BCR")</f>
        <v>Uchwyt obrotowy do kamer Mono BCR</v>
      </c>
      <c r="K779" s="141" t="s">
        <v>21</v>
      </c>
      <c r="L779" s="142">
        <v>100.0</v>
      </c>
      <c r="M779" s="8"/>
      <c r="N779" s="45" t="s">
        <v>22</v>
      </c>
      <c r="O779" s="97"/>
      <c r="P779" s="36"/>
      <c r="Q779" s="35"/>
      <c r="R779" s="68"/>
      <c r="S779" s="68"/>
      <c r="T779" s="68"/>
      <c r="U779" s="35"/>
      <c r="V779" s="35"/>
      <c r="W779" s="35"/>
      <c r="X779" s="35"/>
      <c r="Y779" s="35"/>
      <c r="Z779" s="35"/>
      <c r="AA779" s="35"/>
      <c r="AB779" s="35"/>
      <c r="AC779" s="60"/>
      <c r="AD779" s="85"/>
      <c r="AE779" s="85"/>
      <c r="AF779" s="85"/>
      <c r="AG779" s="85"/>
      <c r="AH779" s="85"/>
      <c r="AI779" s="85"/>
      <c r="AJ779" s="85"/>
      <c r="AK779" s="85"/>
      <c r="AL779" s="85"/>
      <c r="AM779" s="85"/>
      <c r="AN779" s="85"/>
      <c r="AO779" s="85"/>
      <c r="AP779" s="85"/>
    </row>
    <row r="780" ht="45.0" customHeight="1">
      <c r="A780" s="29"/>
      <c r="B780" s="136" t="s">
        <v>23</v>
      </c>
      <c r="C780" s="137" t="s">
        <v>40</v>
      </c>
      <c r="D780" s="138" t="s">
        <v>41</v>
      </c>
      <c r="E780" s="138"/>
      <c r="F780" s="138"/>
      <c r="G780" s="137" t="s">
        <v>42</v>
      </c>
      <c r="H780" s="139" t="s">
        <v>19</v>
      </c>
      <c r="I780" s="140" t="s">
        <v>43</v>
      </c>
      <c r="J780" s="42" t="str">
        <f>IFERROR(__xludf.DUMMYFUNCTION("GOOGLETRANSLATE(I780,""en"",""pl"")"),"Biały moduł LED Akcesorium do obiektywu 6 mm")</f>
        <v>Biały moduł LED Akcesorium do obiektywu 6 mm</v>
      </c>
      <c r="K780" s="141" t="s">
        <v>21</v>
      </c>
      <c r="L780" s="142">
        <v>720.0</v>
      </c>
      <c r="M780" s="8"/>
      <c r="N780" s="45" t="s">
        <v>22</v>
      </c>
      <c r="O780" s="97"/>
      <c r="P780" s="36"/>
      <c r="Q780" s="35"/>
      <c r="R780" s="68"/>
      <c r="S780" s="68"/>
      <c r="T780" s="68"/>
      <c r="U780" s="35"/>
      <c r="V780" s="35"/>
      <c r="W780" s="35"/>
      <c r="X780" s="35"/>
      <c r="Y780" s="35"/>
      <c r="Z780" s="35"/>
      <c r="AA780" s="35"/>
      <c r="AB780" s="35"/>
      <c r="AC780" s="60"/>
      <c r="AD780" s="85"/>
      <c r="AE780" s="85"/>
      <c r="AF780" s="85"/>
      <c r="AG780" s="85"/>
      <c r="AH780" s="85"/>
      <c r="AI780" s="85"/>
      <c r="AJ780" s="85"/>
      <c r="AK780" s="85"/>
      <c r="AL780" s="85"/>
      <c r="AM780" s="85"/>
      <c r="AN780" s="85"/>
      <c r="AO780" s="85"/>
      <c r="AP780" s="85"/>
    </row>
    <row r="781" ht="45.0" customHeight="1">
      <c r="A781" s="29"/>
      <c r="B781" s="136" t="s">
        <v>23</v>
      </c>
      <c r="C781" s="137" t="s">
        <v>44</v>
      </c>
      <c r="D781" s="138" t="s">
        <v>41</v>
      </c>
      <c r="E781" s="138"/>
      <c r="F781" s="138"/>
      <c r="G781" s="137" t="s">
        <v>42</v>
      </c>
      <c r="H781" s="139" t="s">
        <v>19</v>
      </c>
      <c r="I781" s="140" t="s">
        <v>45</v>
      </c>
      <c r="J781" s="42" t="str">
        <f>IFERROR(__xludf.DUMMYFUNCTION("GOOGLETRANSLATE(I781,""en"",""pl"")"),"Biały moduł LED Akcesorium do obiektywu 8 mm")</f>
        <v>Biały moduł LED Akcesorium do obiektywu 8 mm</v>
      </c>
      <c r="K781" s="141" t="s">
        <v>21</v>
      </c>
      <c r="L781" s="142">
        <v>720.0</v>
      </c>
      <c r="M781" s="8"/>
      <c r="N781" s="45" t="s">
        <v>22</v>
      </c>
      <c r="O781" s="97"/>
      <c r="P781" s="36"/>
      <c r="Q781" s="35"/>
      <c r="R781" s="68"/>
      <c r="S781" s="68"/>
      <c r="T781" s="68"/>
      <c r="U781" s="35"/>
      <c r="V781" s="35"/>
      <c r="W781" s="35"/>
      <c r="X781" s="35"/>
      <c r="Y781" s="35"/>
      <c r="Z781" s="35"/>
      <c r="AA781" s="35"/>
      <c r="AB781" s="35"/>
      <c r="AC781" s="60"/>
      <c r="AD781" s="85"/>
      <c r="AE781" s="85"/>
      <c r="AF781" s="85"/>
      <c r="AG781" s="85"/>
      <c r="AH781" s="85"/>
      <c r="AI781" s="85"/>
      <c r="AJ781" s="85"/>
      <c r="AK781" s="85"/>
      <c r="AL781" s="85"/>
      <c r="AM781" s="85"/>
      <c r="AN781" s="85"/>
      <c r="AO781" s="85"/>
      <c r="AP781" s="85"/>
    </row>
    <row r="782" ht="45.0" customHeight="1">
      <c r="A782" s="29"/>
      <c r="B782" s="136" t="s">
        <v>23</v>
      </c>
      <c r="C782" s="137" t="s">
        <v>46</v>
      </c>
      <c r="D782" s="138" t="s">
        <v>41</v>
      </c>
      <c r="E782" s="138"/>
      <c r="F782" s="138"/>
      <c r="G782" s="137" t="s">
        <v>42</v>
      </c>
      <c r="H782" s="139" t="s">
        <v>19</v>
      </c>
      <c r="I782" s="140" t="s">
        <v>47</v>
      </c>
      <c r="J782" s="42" t="str">
        <f>IFERROR(__xludf.DUMMYFUNCTION("GOOGLETRANSLATE(I782,""en"",""pl"")"),"Biały moduł LED Akcesorium do obiektywu 12 mm")</f>
        <v>Biały moduł LED Akcesorium do obiektywu 12 mm</v>
      </c>
      <c r="K782" s="141" t="s">
        <v>21</v>
      </c>
      <c r="L782" s="142">
        <v>720.0</v>
      </c>
      <c r="M782" s="8"/>
      <c r="N782" s="45" t="s">
        <v>22</v>
      </c>
      <c r="O782" s="97"/>
      <c r="P782" s="36"/>
      <c r="Q782" s="35"/>
      <c r="R782" s="68"/>
      <c r="S782" s="68"/>
      <c r="T782" s="68"/>
      <c r="U782" s="35"/>
      <c r="V782" s="35"/>
      <c r="W782" s="35"/>
      <c r="X782" s="35"/>
      <c r="Y782" s="35"/>
      <c r="Z782" s="35"/>
      <c r="AA782" s="35"/>
      <c r="AB782" s="35"/>
      <c r="AC782" s="60"/>
      <c r="AD782" s="85"/>
      <c r="AE782" s="85"/>
      <c r="AF782" s="85"/>
      <c r="AG782" s="85"/>
      <c r="AH782" s="85"/>
      <c r="AI782" s="85"/>
      <c r="AJ782" s="85"/>
      <c r="AK782" s="85"/>
      <c r="AL782" s="85"/>
      <c r="AM782" s="85"/>
      <c r="AN782" s="85"/>
      <c r="AO782" s="85"/>
      <c r="AP782" s="85"/>
    </row>
    <row r="783" ht="45.0" customHeight="1">
      <c r="A783" s="29"/>
      <c r="B783" s="136" t="s">
        <v>23</v>
      </c>
      <c r="C783" s="137" t="s">
        <v>48</v>
      </c>
      <c r="D783" s="138" t="s">
        <v>41</v>
      </c>
      <c r="E783" s="138"/>
      <c r="F783" s="138"/>
      <c r="G783" s="137" t="s">
        <v>42</v>
      </c>
      <c r="H783" s="139" t="s">
        <v>19</v>
      </c>
      <c r="I783" s="140" t="s">
        <v>49</v>
      </c>
      <c r="J783" s="42" t="str">
        <f>IFERROR(__xludf.DUMMYFUNCTION("GOOGLETRANSLATE(I783,""en"",""pl"")"),"Biały moduł LED Akcesorium do obiektywu 16 mm/25 mm")</f>
        <v>Biały moduł LED Akcesorium do obiektywu 16 mm/25 mm</v>
      </c>
      <c r="K783" s="141" t="s">
        <v>21</v>
      </c>
      <c r="L783" s="142">
        <v>720.0</v>
      </c>
      <c r="M783" s="8"/>
      <c r="N783" s="45" t="s">
        <v>22</v>
      </c>
      <c r="O783" s="97"/>
      <c r="P783" s="36"/>
      <c r="Q783" s="35"/>
      <c r="R783" s="68"/>
      <c r="S783" s="68"/>
      <c r="T783" s="68"/>
      <c r="U783" s="35"/>
      <c r="V783" s="35"/>
      <c r="W783" s="35"/>
      <c r="X783" s="35"/>
      <c r="Y783" s="35"/>
      <c r="Z783" s="35"/>
      <c r="AA783" s="35"/>
      <c r="AB783" s="35"/>
      <c r="AC783" s="60"/>
      <c r="AD783" s="85"/>
      <c r="AE783" s="85"/>
      <c r="AF783" s="85"/>
      <c r="AG783" s="85"/>
      <c r="AH783" s="85"/>
      <c r="AI783" s="85"/>
      <c r="AJ783" s="85"/>
      <c r="AK783" s="85"/>
      <c r="AL783" s="85"/>
      <c r="AM783" s="85"/>
      <c r="AN783" s="85"/>
      <c r="AO783" s="85"/>
      <c r="AP783" s="85"/>
    </row>
    <row r="784" ht="45.0" customHeight="1">
      <c r="A784" s="29"/>
      <c r="B784" s="136" t="s">
        <v>23</v>
      </c>
      <c r="C784" s="137" t="s">
        <v>50</v>
      </c>
      <c r="D784" s="138" t="s">
        <v>51</v>
      </c>
      <c r="E784" s="138"/>
      <c r="F784" s="138"/>
      <c r="G784" s="137" t="s">
        <v>42</v>
      </c>
      <c r="H784" s="139" t="s">
        <v>19</v>
      </c>
      <c r="I784" s="140" t="s">
        <v>52</v>
      </c>
      <c r="J784" s="42" t="str">
        <f>IFERROR(__xludf.DUMMYFUNCTION("GOOGLETRANSLATE(I784,""en"",""pl"")"),"Akcesorium do modułu LED w kolorze czerwonym do obiektywu 6 mm")</f>
        <v>Akcesorium do modułu LED w kolorze czerwonym do obiektywu 6 mm</v>
      </c>
      <c r="K784" s="141" t="s">
        <v>21</v>
      </c>
      <c r="L784" s="142">
        <v>720.0</v>
      </c>
      <c r="M784" s="8"/>
      <c r="N784" s="45" t="s">
        <v>22</v>
      </c>
      <c r="O784" s="97"/>
      <c r="P784" s="36"/>
      <c r="Q784" s="35"/>
      <c r="R784" s="68"/>
      <c r="S784" s="68"/>
      <c r="T784" s="68"/>
      <c r="U784" s="35"/>
      <c r="V784" s="35"/>
      <c r="W784" s="35"/>
      <c r="X784" s="35"/>
      <c r="Y784" s="35"/>
      <c r="Z784" s="35"/>
      <c r="AA784" s="35"/>
      <c r="AB784" s="35"/>
      <c r="AC784" s="60"/>
      <c r="AD784" s="85"/>
      <c r="AE784" s="85"/>
      <c r="AF784" s="85"/>
      <c r="AG784" s="85"/>
      <c r="AH784" s="85"/>
      <c r="AI784" s="85"/>
      <c r="AJ784" s="85"/>
      <c r="AK784" s="85"/>
      <c r="AL784" s="85"/>
      <c r="AM784" s="85"/>
      <c r="AN784" s="85"/>
      <c r="AO784" s="85"/>
      <c r="AP784" s="85"/>
    </row>
    <row r="785" ht="45.0" customHeight="1">
      <c r="A785" s="29"/>
      <c r="B785" s="136" t="s">
        <v>23</v>
      </c>
      <c r="C785" s="137" t="s">
        <v>53</v>
      </c>
      <c r="D785" s="138" t="s">
        <v>51</v>
      </c>
      <c r="E785" s="138"/>
      <c r="F785" s="138"/>
      <c r="G785" s="137" t="s">
        <v>42</v>
      </c>
      <c r="H785" s="139" t="s">
        <v>19</v>
      </c>
      <c r="I785" s="140" t="s">
        <v>54</v>
      </c>
      <c r="J785" s="42" t="str">
        <f>IFERROR(__xludf.DUMMYFUNCTION("GOOGLETRANSLATE(I785,""en"",""pl"")"),"Akcesorium do modułu LED w kolorze czerwonym do obiektywu 8 mm")</f>
        <v>Akcesorium do modułu LED w kolorze czerwonym do obiektywu 8 mm</v>
      </c>
      <c r="K785" s="141" t="s">
        <v>21</v>
      </c>
      <c r="L785" s="142">
        <v>720.0</v>
      </c>
      <c r="M785" s="8"/>
      <c r="N785" s="45" t="s">
        <v>22</v>
      </c>
      <c r="O785" s="97"/>
      <c r="P785" s="36"/>
      <c r="Q785" s="35"/>
      <c r="R785" s="68"/>
      <c r="S785" s="68"/>
      <c r="T785" s="68"/>
      <c r="U785" s="35"/>
      <c r="V785" s="35"/>
      <c r="W785" s="35"/>
      <c r="X785" s="35"/>
      <c r="Y785" s="35"/>
      <c r="Z785" s="35"/>
      <c r="AA785" s="35"/>
      <c r="AB785" s="35"/>
      <c r="AC785" s="60"/>
      <c r="AD785" s="85"/>
      <c r="AE785" s="85"/>
      <c r="AF785" s="85"/>
      <c r="AG785" s="85"/>
      <c r="AH785" s="85"/>
      <c r="AI785" s="85"/>
      <c r="AJ785" s="85"/>
      <c r="AK785" s="85"/>
      <c r="AL785" s="85"/>
      <c r="AM785" s="85"/>
      <c r="AN785" s="85"/>
      <c r="AO785" s="85"/>
      <c r="AP785" s="85"/>
    </row>
    <row r="786" ht="45.0" customHeight="1">
      <c r="A786" s="29"/>
      <c r="B786" s="136" t="s">
        <v>23</v>
      </c>
      <c r="C786" s="137" t="s">
        <v>55</v>
      </c>
      <c r="D786" s="138" t="s">
        <v>51</v>
      </c>
      <c r="E786" s="138"/>
      <c r="F786" s="138"/>
      <c r="G786" s="137" t="s">
        <v>42</v>
      </c>
      <c r="H786" s="139" t="s">
        <v>19</v>
      </c>
      <c r="I786" s="140" t="s">
        <v>56</v>
      </c>
      <c r="J786" s="42" t="str">
        <f>IFERROR(__xludf.DUMMYFUNCTION("GOOGLETRANSLATE(I786,""en"",""pl"")"),"Akcesorium do modułu LED w kolorze czerwonym do obiektywu 12 mm")</f>
        <v>Akcesorium do modułu LED w kolorze czerwonym do obiektywu 12 mm</v>
      </c>
      <c r="K786" s="141" t="s">
        <v>21</v>
      </c>
      <c r="L786" s="142">
        <v>720.0</v>
      </c>
      <c r="M786" s="8"/>
      <c r="N786" s="45" t="s">
        <v>22</v>
      </c>
      <c r="O786" s="97"/>
      <c r="P786" s="36"/>
      <c r="Q786" s="35"/>
      <c r="R786" s="68"/>
      <c r="S786" s="68"/>
      <c r="T786" s="68"/>
      <c r="U786" s="35"/>
      <c r="V786" s="35"/>
      <c r="W786" s="35"/>
      <c r="X786" s="35"/>
      <c r="Y786" s="35"/>
      <c r="Z786" s="35"/>
      <c r="AA786" s="35"/>
      <c r="AB786" s="35"/>
      <c r="AC786" s="60"/>
      <c r="AD786" s="85"/>
      <c r="AE786" s="85"/>
      <c r="AF786" s="85"/>
      <c r="AG786" s="85"/>
      <c r="AH786" s="85"/>
      <c r="AI786" s="85"/>
      <c r="AJ786" s="85"/>
      <c r="AK786" s="85"/>
      <c r="AL786" s="85"/>
      <c r="AM786" s="85"/>
      <c r="AN786" s="85"/>
      <c r="AO786" s="85"/>
      <c r="AP786" s="85"/>
    </row>
    <row r="787" ht="45.0" customHeight="1">
      <c r="A787" s="29"/>
      <c r="B787" s="136" t="s">
        <v>23</v>
      </c>
      <c r="C787" s="137" t="s">
        <v>57</v>
      </c>
      <c r="D787" s="138" t="s">
        <v>51</v>
      </c>
      <c r="E787" s="138"/>
      <c r="F787" s="138"/>
      <c r="G787" s="137" t="s">
        <v>42</v>
      </c>
      <c r="H787" s="139" t="s">
        <v>19</v>
      </c>
      <c r="I787" s="140" t="s">
        <v>58</v>
      </c>
      <c r="J787" s="42" t="str">
        <f>IFERROR(__xludf.DUMMYFUNCTION("GOOGLETRANSLATE(I787,""en"",""pl"")"),"Akcesorium do modułu LED w kolorze czerwonym do obiektywu 16 mm/25 mm")</f>
        <v>Akcesorium do modułu LED w kolorze czerwonym do obiektywu 16 mm/25 mm</v>
      </c>
      <c r="K787" s="141" t="s">
        <v>21</v>
      </c>
      <c r="L787" s="142">
        <v>720.0</v>
      </c>
      <c r="M787" s="8"/>
      <c r="N787" s="45" t="s">
        <v>22</v>
      </c>
      <c r="O787" s="97"/>
      <c r="P787" s="36"/>
      <c r="Q787" s="35"/>
      <c r="R787" s="68"/>
      <c r="S787" s="68"/>
      <c r="T787" s="68"/>
      <c r="U787" s="35"/>
      <c r="V787" s="35"/>
      <c r="W787" s="35"/>
      <c r="X787" s="35"/>
      <c r="Y787" s="35"/>
      <c r="Z787" s="35"/>
      <c r="AA787" s="35"/>
      <c r="AB787" s="35"/>
      <c r="AC787" s="60"/>
      <c r="AD787" s="85"/>
      <c r="AE787" s="85"/>
      <c r="AF787" s="85"/>
      <c r="AG787" s="85"/>
      <c r="AH787" s="85"/>
      <c r="AI787" s="85"/>
      <c r="AJ787" s="85"/>
      <c r="AK787" s="85"/>
      <c r="AL787" s="85"/>
      <c r="AM787" s="85"/>
      <c r="AN787" s="85"/>
      <c r="AO787" s="85"/>
      <c r="AP787" s="85"/>
    </row>
    <row r="788" ht="45.0" customHeight="1">
      <c r="A788" s="29"/>
      <c r="B788" s="136" t="s">
        <v>23</v>
      </c>
      <c r="C788" s="137" t="s">
        <v>59</v>
      </c>
      <c r="D788" s="138" t="s">
        <v>60</v>
      </c>
      <c r="E788" s="138"/>
      <c r="F788" s="138"/>
      <c r="G788" s="137" t="s">
        <v>42</v>
      </c>
      <c r="H788" s="139" t="s">
        <v>19</v>
      </c>
      <c r="I788" s="140" t="s">
        <v>61</v>
      </c>
      <c r="J788" s="42" t="str">
        <f>IFERROR(__xludf.DUMMYFUNCTION("GOOGLETRANSLATE(I788,""en"",""pl"")"),"Akcesorium do niebieskiego modułu LED do obiektywu 6 mm")</f>
        <v>Akcesorium do niebieskiego modułu LED do obiektywu 6 mm</v>
      </c>
      <c r="K788" s="141" t="s">
        <v>21</v>
      </c>
      <c r="L788" s="142">
        <v>720.0</v>
      </c>
      <c r="M788" s="8"/>
      <c r="N788" s="45" t="s">
        <v>22</v>
      </c>
      <c r="O788" s="97"/>
      <c r="P788" s="36"/>
      <c r="Q788" s="35"/>
      <c r="R788" s="68"/>
      <c r="S788" s="68"/>
      <c r="T788" s="68"/>
      <c r="U788" s="35"/>
      <c r="V788" s="35"/>
      <c r="W788" s="35"/>
      <c r="X788" s="35"/>
      <c r="Y788" s="35"/>
      <c r="Z788" s="35"/>
      <c r="AA788" s="35"/>
      <c r="AB788" s="35"/>
      <c r="AC788" s="60"/>
      <c r="AD788" s="85"/>
      <c r="AE788" s="85"/>
      <c r="AF788" s="85"/>
      <c r="AG788" s="85"/>
      <c r="AH788" s="85"/>
      <c r="AI788" s="85"/>
      <c r="AJ788" s="85"/>
      <c r="AK788" s="85"/>
      <c r="AL788" s="85"/>
      <c r="AM788" s="85"/>
      <c r="AN788" s="85"/>
      <c r="AO788" s="85"/>
      <c r="AP788" s="85"/>
    </row>
    <row r="789" ht="45.0" customHeight="1">
      <c r="A789" s="29"/>
      <c r="B789" s="136" t="s">
        <v>23</v>
      </c>
      <c r="C789" s="137" t="s">
        <v>62</v>
      </c>
      <c r="D789" s="138" t="s">
        <v>60</v>
      </c>
      <c r="E789" s="138"/>
      <c r="F789" s="138"/>
      <c r="G789" s="137" t="s">
        <v>42</v>
      </c>
      <c r="H789" s="139" t="s">
        <v>19</v>
      </c>
      <c r="I789" s="140" t="s">
        <v>63</v>
      </c>
      <c r="J789" s="42" t="str">
        <f>IFERROR(__xludf.DUMMYFUNCTION("GOOGLETRANSLATE(I789,""en"",""pl"")"),"Akcesorium do niebieskiego modułu LED do obiektywu 8 mm")</f>
        <v>Akcesorium do niebieskiego modułu LED do obiektywu 8 mm</v>
      </c>
      <c r="K789" s="141" t="s">
        <v>21</v>
      </c>
      <c r="L789" s="142">
        <v>720.0</v>
      </c>
      <c r="M789" s="8"/>
      <c r="N789" s="45" t="s">
        <v>22</v>
      </c>
      <c r="O789" s="97"/>
      <c r="P789" s="36"/>
      <c r="Q789" s="35"/>
      <c r="R789" s="68"/>
      <c r="S789" s="68"/>
      <c r="T789" s="68"/>
      <c r="U789" s="35"/>
      <c r="V789" s="35"/>
      <c r="W789" s="35"/>
      <c r="X789" s="35"/>
      <c r="Y789" s="35"/>
      <c r="Z789" s="35"/>
      <c r="AA789" s="35"/>
      <c r="AB789" s="35"/>
      <c r="AC789" s="60"/>
      <c r="AD789" s="85"/>
      <c r="AE789" s="85"/>
      <c r="AF789" s="85"/>
      <c r="AG789" s="85"/>
      <c r="AH789" s="85"/>
      <c r="AI789" s="85"/>
      <c r="AJ789" s="85"/>
      <c r="AK789" s="85"/>
      <c r="AL789" s="85"/>
      <c r="AM789" s="85"/>
      <c r="AN789" s="85"/>
      <c r="AO789" s="85"/>
      <c r="AP789" s="85"/>
    </row>
    <row r="790" ht="45.0" customHeight="1">
      <c r="A790" s="29"/>
      <c r="B790" s="136" t="s">
        <v>23</v>
      </c>
      <c r="C790" s="137" t="s">
        <v>64</v>
      </c>
      <c r="D790" s="138" t="s">
        <v>60</v>
      </c>
      <c r="E790" s="138"/>
      <c r="F790" s="138"/>
      <c r="G790" s="137" t="s">
        <v>42</v>
      </c>
      <c r="H790" s="139" t="s">
        <v>19</v>
      </c>
      <c r="I790" s="140" t="s">
        <v>65</v>
      </c>
      <c r="J790" s="42" t="str">
        <f>IFERROR(__xludf.DUMMYFUNCTION("GOOGLETRANSLATE(I790,""en"",""pl"")"),"Akcesorium do niebieskiego modułu LED do obiektywu 12 mm")</f>
        <v>Akcesorium do niebieskiego modułu LED do obiektywu 12 mm</v>
      </c>
      <c r="K790" s="141" t="s">
        <v>21</v>
      </c>
      <c r="L790" s="142">
        <v>720.0</v>
      </c>
      <c r="M790" s="8"/>
      <c r="N790" s="45" t="s">
        <v>22</v>
      </c>
      <c r="O790" s="97"/>
      <c r="P790" s="36"/>
      <c r="Q790" s="35"/>
      <c r="R790" s="68"/>
      <c r="S790" s="68"/>
      <c r="T790" s="68"/>
      <c r="U790" s="35"/>
      <c r="V790" s="35"/>
      <c r="W790" s="35"/>
      <c r="X790" s="35"/>
      <c r="Y790" s="35"/>
      <c r="Z790" s="35"/>
      <c r="AA790" s="35"/>
      <c r="AB790" s="35"/>
      <c r="AC790" s="60"/>
      <c r="AD790" s="85"/>
      <c r="AE790" s="85"/>
      <c r="AF790" s="85"/>
      <c r="AG790" s="85"/>
      <c r="AH790" s="85"/>
      <c r="AI790" s="85"/>
      <c r="AJ790" s="85"/>
      <c r="AK790" s="85"/>
      <c r="AL790" s="85"/>
      <c r="AM790" s="85"/>
      <c r="AN790" s="85"/>
      <c r="AO790" s="85"/>
      <c r="AP790" s="85"/>
    </row>
    <row r="791" ht="45.0" customHeight="1">
      <c r="A791" s="29"/>
      <c r="B791" s="136" t="s">
        <v>23</v>
      </c>
      <c r="C791" s="137" t="s">
        <v>66</v>
      </c>
      <c r="D791" s="138" t="s">
        <v>60</v>
      </c>
      <c r="E791" s="138"/>
      <c r="F791" s="138"/>
      <c r="G791" s="137" t="s">
        <v>42</v>
      </c>
      <c r="H791" s="139" t="s">
        <v>19</v>
      </c>
      <c r="I791" s="140" t="s">
        <v>67</v>
      </c>
      <c r="J791" s="42" t="str">
        <f>IFERROR(__xludf.DUMMYFUNCTION("GOOGLETRANSLATE(I791,""en"",""pl"")"),"Akcesorium do niebieskiego modułu LED do obiektywu 16 mm/25 mm")</f>
        <v>Akcesorium do niebieskiego modułu LED do obiektywu 16 mm/25 mm</v>
      </c>
      <c r="K791" s="141" t="s">
        <v>21</v>
      </c>
      <c r="L791" s="142">
        <v>720.0</v>
      </c>
      <c r="M791" s="8"/>
      <c r="N791" s="45" t="s">
        <v>22</v>
      </c>
      <c r="O791" s="97"/>
      <c r="P791" s="36"/>
      <c r="Q791" s="35"/>
      <c r="R791" s="68"/>
      <c r="S791" s="68"/>
      <c r="T791" s="68"/>
      <c r="U791" s="35"/>
      <c r="V791" s="35"/>
      <c r="W791" s="35"/>
      <c r="X791" s="35"/>
      <c r="Y791" s="35"/>
      <c r="Z791" s="35"/>
      <c r="AA791" s="35"/>
      <c r="AB791" s="35"/>
      <c r="AC791" s="60"/>
      <c r="AD791" s="85"/>
      <c r="AE791" s="85"/>
      <c r="AF791" s="85"/>
      <c r="AG791" s="85"/>
      <c r="AH791" s="85"/>
      <c r="AI791" s="85"/>
      <c r="AJ791" s="85"/>
      <c r="AK791" s="85"/>
      <c r="AL791" s="85"/>
      <c r="AM791" s="85"/>
      <c r="AN791" s="85"/>
      <c r="AO791" s="85"/>
      <c r="AP791" s="85"/>
    </row>
    <row r="792" ht="45.0" customHeight="1">
      <c r="A792" s="29"/>
      <c r="B792" s="136" t="s">
        <v>23</v>
      </c>
      <c r="C792" s="137" t="s">
        <v>68</v>
      </c>
      <c r="D792" s="138" t="s">
        <v>69</v>
      </c>
      <c r="E792" s="138"/>
      <c r="F792" s="138"/>
      <c r="G792" s="137" t="s">
        <v>70</v>
      </c>
      <c r="H792" s="139" t="s">
        <v>19</v>
      </c>
      <c r="I792" s="140" t="s">
        <v>71</v>
      </c>
      <c r="J792" s="42" t="str">
        <f>IFERROR(__xludf.DUMMYFUNCTION("GOOGLETRANSLATE(I792,""en"",""pl"")"),"Przezroczysta okładka przednia")</f>
        <v>Przezroczysta okładka przednia</v>
      </c>
      <c r="K792" s="141" t="s">
        <v>21</v>
      </c>
      <c r="L792" s="142">
        <v>170.0</v>
      </c>
      <c r="M792" s="8"/>
      <c r="N792" s="45" t="s">
        <v>22</v>
      </c>
      <c r="O792" s="97"/>
      <c r="P792" s="36"/>
      <c r="Q792" s="35"/>
      <c r="R792" s="68"/>
      <c r="S792" s="68"/>
      <c r="T792" s="68"/>
      <c r="U792" s="35"/>
      <c r="V792" s="35"/>
      <c r="W792" s="35"/>
      <c r="X792" s="35"/>
      <c r="Y792" s="35"/>
      <c r="Z792" s="35"/>
      <c r="AA792" s="35"/>
      <c r="AB792" s="35"/>
      <c r="AC792" s="60"/>
      <c r="AD792" s="85"/>
      <c r="AE792" s="85"/>
      <c r="AF792" s="85"/>
      <c r="AG792" s="85"/>
      <c r="AH792" s="85"/>
      <c r="AI792" s="85"/>
      <c r="AJ792" s="85"/>
      <c r="AK792" s="85"/>
      <c r="AL792" s="85"/>
      <c r="AM792" s="85"/>
      <c r="AN792" s="85"/>
      <c r="AO792" s="85"/>
      <c r="AP792" s="85"/>
    </row>
    <row r="793" ht="45.0" customHeight="1">
      <c r="A793" s="29"/>
      <c r="B793" s="136" t="s">
        <v>23</v>
      </c>
      <c r="C793" s="137" t="s">
        <v>72</v>
      </c>
      <c r="D793" s="138" t="s">
        <v>69</v>
      </c>
      <c r="E793" s="138"/>
      <c r="F793" s="138"/>
      <c r="G793" s="137" t="s">
        <v>70</v>
      </c>
      <c r="H793" s="139" t="s">
        <v>19</v>
      </c>
      <c r="I793" s="140" t="s">
        <v>73</v>
      </c>
      <c r="J793" s="42" t="str">
        <f>IFERROR(__xludf.DUMMYFUNCTION("GOOGLETRANSLATE(I793,""en"",""pl"")"),"Okładka przednia dyfuzyjna")</f>
        <v>Okładka przednia dyfuzyjna</v>
      </c>
      <c r="K793" s="141" t="s">
        <v>21</v>
      </c>
      <c r="L793" s="142">
        <v>170.0</v>
      </c>
      <c r="M793" s="8"/>
      <c r="N793" s="45" t="s">
        <v>22</v>
      </c>
      <c r="O793" s="97"/>
      <c r="P793" s="36"/>
      <c r="Q793" s="35"/>
      <c r="R793" s="68"/>
      <c r="S793" s="68"/>
      <c r="T793" s="68"/>
      <c r="U793" s="35"/>
      <c r="V793" s="35"/>
      <c r="W793" s="35"/>
      <c r="X793" s="35"/>
      <c r="Y793" s="35"/>
      <c r="Z793" s="35"/>
      <c r="AA793" s="35"/>
      <c r="AB793" s="35"/>
      <c r="AC793" s="60"/>
      <c r="AD793" s="85"/>
      <c r="AE793" s="85"/>
      <c r="AF793" s="85"/>
      <c r="AG793" s="85"/>
      <c r="AH793" s="85"/>
      <c r="AI793" s="85"/>
      <c r="AJ793" s="85"/>
      <c r="AK793" s="85"/>
      <c r="AL793" s="85"/>
      <c r="AM793" s="85"/>
      <c r="AN793" s="85"/>
      <c r="AO793" s="85"/>
      <c r="AP793" s="85"/>
    </row>
    <row r="794" ht="45.0" customHeight="1">
      <c r="A794" s="29"/>
      <c r="B794" s="136" t="s">
        <v>23</v>
      </c>
      <c r="C794" s="137" t="s">
        <v>74</v>
      </c>
      <c r="D794" s="138" t="s">
        <v>69</v>
      </c>
      <c r="E794" s="138"/>
      <c r="F794" s="138"/>
      <c r="G794" s="137" t="s">
        <v>70</v>
      </c>
      <c r="H794" s="139" t="s">
        <v>19</v>
      </c>
      <c r="I794" s="140" t="s">
        <v>75</v>
      </c>
      <c r="J794" s="42" t="str">
        <f>IFERROR(__xludf.DUMMYFUNCTION("GOOGLETRANSLATE(I794,""en"",""pl"")"),"Polaryzowana okładka przednia")</f>
        <v>Polaryzowana okładka przednia</v>
      </c>
      <c r="K794" s="141" t="s">
        <v>21</v>
      </c>
      <c r="L794" s="142">
        <v>170.0</v>
      </c>
      <c r="M794" s="8"/>
      <c r="N794" s="45" t="s">
        <v>22</v>
      </c>
      <c r="O794" s="97"/>
      <c r="P794" s="36"/>
      <c r="Q794" s="35"/>
      <c r="R794" s="68"/>
      <c r="S794" s="68"/>
      <c r="T794" s="68"/>
      <c r="U794" s="35"/>
      <c r="V794" s="35"/>
      <c r="W794" s="35"/>
      <c r="X794" s="35"/>
      <c r="Y794" s="35"/>
      <c r="Z794" s="35"/>
      <c r="AA794" s="35"/>
      <c r="AB794" s="35"/>
      <c r="AC794" s="60"/>
      <c r="AD794" s="85"/>
      <c r="AE794" s="85"/>
      <c r="AF794" s="85"/>
      <c r="AG794" s="85"/>
      <c r="AH794" s="85"/>
      <c r="AI794" s="85"/>
      <c r="AJ794" s="85"/>
      <c r="AK794" s="85"/>
      <c r="AL794" s="85"/>
      <c r="AM794" s="85"/>
      <c r="AN794" s="85"/>
      <c r="AO794" s="85"/>
      <c r="AP794" s="85"/>
    </row>
    <row r="795" ht="45.0" customHeight="1">
      <c r="A795" s="29"/>
      <c r="B795" s="38" t="s">
        <v>23</v>
      </c>
      <c r="C795" s="39" t="s">
        <v>2090</v>
      </c>
      <c r="D795" s="40" t="s">
        <v>2091</v>
      </c>
      <c r="E795" s="118"/>
      <c r="F795" s="40"/>
      <c r="G795" s="39" t="s">
        <v>2092</v>
      </c>
      <c r="H795" s="41" t="s">
        <v>79</v>
      </c>
      <c r="I795" s="48" t="s">
        <v>2093</v>
      </c>
      <c r="J795" s="42" t="str">
        <f>IFERROR(__xludf.DUMMYFUNCTION("GOOGLETRANSLATE(I795,""en"",""pl"")"),"Kabel zasilający M12 do kamery BCR, długość 2 metrów, stopień ochrony IP67, kolor czarny, złącze A to złącze M12 z prefabrykowanymi żyłami, złącze B to złącze z niezakończonymi żyłami kablowymi. Kompatybilny z TNS-9040IBC, TNS-9050IBC, TNS-9060IBC.")</f>
        <v>Kabel zasilający M12 do kamery BCR, długość 2 metrów, stopień ochrony IP67, kolor czarny, złącze A to złącze M12 z prefabrykowanymi żyłami, złącze B to złącze z niezakończonymi żyłami kablowymi. Kompatybilny z TNS-9040IBC, TNS-9050IBC, TNS-9060IBC.</v>
      </c>
      <c r="K795" s="43" t="s">
        <v>21</v>
      </c>
      <c r="L795" s="44">
        <v>79.0</v>
      </c>
      <c r="M795" s="8"/>
      <c r="N795" s="45" t="s">
        <v>22</v>
      </c>
      <c r="O795" s="97"/>
      <c r="P795" s="36"/>
      <c r="Q795" s="35"/>
      <c r="R795" s="68"/>
      <c r="S795" s="68"/>
      <c r="T795" s="68"/>
      <c r="U795" s="35"/>
      <c r="V795" s="35"/>
      <c r="W795" s="35"/>
      <c r="X795" s="35"/>
      <c r="Y795" s="35"/>
      <c r="Z795" s="35"/>
      <c r="AA795" s="35"/>
      <c r="AB795" s="35"/>
      <c r="AC795" s="60"/>
      <c r="AD795" s="85"/>
      <c r="AE795" s="85"/>
      <c r="AF795" s="85"/>
      <c r="AG795" s="85"/>
      <c r="AH795" s="85"/>
      <c r="AI795" s="85"/>
      <c r="AJ795" s="85"/>
      <c r="AK795" s="85"/>
      <c r="AL795" s="85"/>
      <c r="AM795" s="85"/>
      <c r="AN795" s="85"/>
      <c r="AO795" s="85"/>
      <c r="AP795" s="85"/>
    </row>
    <row r="796" ht="45.0" customHeight="1">
      <c r="A796" s="29"/>
      <c r="B796" s="38" t="s">
        <v>23</v>
      </c>
      <c r="C796" s="39" t="s">
        <v>2094</v>
      </c>
      <c r="D796" s="40" t="s">
        <v>2091</v>
      </c>
      <c r="E796" s="118"/>
      <c r="F796" s="40"/>
      <c r="G796" s="39" t="s">
        <v>2092</v>
      </c>
      <c r="H796" s="41" t="s">
        <v>79</v>
      </c>
      <c r="I796" s="48" t="s">
        <v>2095</v>
      </c>
      <c r="J796" s="42" t="str">
        <f>IFERROR(__xludf.DUMMYFUNCTION("GOOGLETRANSLATE(I796,""en"",""pl"")"),"Kabel zasilający M12 do kamery BCR, długość 5 metrów, stopień ochrony IP67, kolor czarny, złącze A to złącze M12 z prefabrykowanymi żyłami, złącze B to złącze z niezakończonymi żyłami kablowymi. Kompatybilny z TNS-9040IBC, TNS-9050IBC, TNS-9060IBC.")</f>
        <v>Kabel zasilający M12 do kamery BCR, długość 5 metrów, stopień ochrony IP67, kolor czarny, złącze A to złącze M12 z prefabrykowanymi żyłami, złącze B to złącze z niezakończonymi żyłami kablowymi. Kompatybilny z TNS-9040IBC, TNS-9050IBC, TNS-9060IBC.</v>
      </c>
      <c r="K796" s="43" t="s">
        <v>21</v>
      </c>
      <c r="L796" s="44">
        <v>97.0</v>
      </c>
      <c r="M796" s="8"/>
      <c r="N796" s="45" t="s">
        <v>22</v>
      </c>
      <c r="O796" s="97"/>
      <c r="P796" s="36"/>
      <c r="Q796" s="35"/>
      <c r="R796" s="68"/>
      <c r="S796" s="68"/>
      <c r="T796" s="68"/>
      <c r="U796" s="35"/>
      <c r="V796" s="35"/>
      <c r="W796" s="35"/>
      <c r="X796" s="35"/>
      <c r="Y796" s="35"/>
      <c r="Z796" s="35"/>
      <c r="AA796" s="35"/>
      <c r="AB796" s="35"/>
      <c r="AC796" s="60"/>
      <c r="AD796" s="85"/>
      <c r="AE796" s="85"/>
      <c r="AF796" s="85"/>
      <c r="AG796" s="85"/>
      <c r="AH796" s="85"/>
      <c r="AI796" s="85"/>
      <c r="AJ796" s="85"/>
      <c r="AK796" s="85"/>
      <c r="AL796" s="85"/>
      <c r="AM796" s="85"/>
      <c r="AN796" s="85"/>
      <c r="AO796" s="85"/>
      <c r="AP796" s="85"/>
    </row>
    <row r="797" ht="45.0" customHeight="1">
      <c r="A797" s="29"/>
      <c r="B797" s="38" t="s">
        <v>23</v>
      </c>
      <c r="C797" s="39" t="s">
        <v>2096</v>
      </c>
      <c r="D797" s="40" t="s">
        <v>2091</v>
      </c>
      <c r="E797" s="118"/>
      <c r="F797" s="40"/>
      <c r="G797" s="39" t="s">
        <v>2092</v>
      </c>
      <c r="H797" s="41" t="s">
        <v>79</v>
      </c>
      <c r="I797" s="48" t="s">
        <v>2097</v>
      </c>
      <c r="J797" s="42" t="str">
        <f>IFERROR(__xludf.DUMMYFUNCTION("GOOGLETRANSLATE(I797,""en"",""pl"")"),"Kabel zasilający M12 do kamery BCR, długość 10 metrów, stopień ochrony IP67, kolor czarny, złącze A to złącze M12 z prefabrykowanymi żyłami, złącze B to złącze z niezakończonymi żyłami kablowymi. Kompatybilny z TNS-9040IBC, TNS-9050IBC, TNS-9060IBC.")</f>
        <v>Kabel zasilający M12 do kamery BCR, długość 10 metrów, stopień ochrony IP67, kolor czarny, złącze A to złącze M12 z prefabrykowanymi żyłami, złącze B to złącze z niezakończonymi żyłami kablowymi. Kompatybilny z TNS-9040IBC, TNS-9050IBC, TNS-9060IBC.</v>
      </c>
      <c r="K797" s="43" t="s">
        <v>21</v>
      </c>
      <c r="L797" s="44">
        <v>116.0</v>
      </c>
      <c r="M797" s="8"/>
      <c r="N797" s="45" t="s">
        <v>22</v>
      </c>
      <c r="O797" s="97"/>
      <c r="P797" s="36"/>
      <c r="Q797" s="35"/>
      <c r="R797" s="68"/>
      <c r="S797" s="68"/>
      <c r="T797" s="68"/>
      <c r="U797" s="35"/>
      <c r="V797" s="35"/>
      <c r="W797" s="35"/>
      <c r="X797" s="35"/>
      <c r="Y797" s="35"/>
      <c r="Z797" s="35"/>
      <c r="AA797" s="35"/>
      <c r="AB797" s="35"/>
      <c r="AC797" s="60"/>
      <c r="AD797" s="85"/>
      <c r="AE797" s="85"/>
      <c r="AF797" s="85"/>
      <c r="AG797" s="85"/>
      <c r="AH797" s="85"/>
      <c r="AI797" s="85"/>
      <c r="AJ797" s="85"/>
      <c r="AK797" s="85"/>
      <c r="AL797" s="85"/>
      <c r="AM797" s="85"/>
      <c r="AN797" s="85"/>
      <c r="AO797" s="85"/>
      <c r="AP797" s="85"/>
    </row>
    <row r="798" ht="45.0" customHeight="1">
      <c r="A798" s="29"/>
      <c r="B798" s="38" t="s">
        <v>23</v>
      </c>
      <c r="C798" s="39" t="s">
        <v>2098</v>
      </c>
      <c r="D798" s="40" t="s">
        <v>2091</v>
      </c>
      <c r="E798" s="118"/>
      <c r="F798" s="40"/>
      <c r="G798" s="39" t="s">
        <v>2099</v>
      </c>
      <c r="H798" s="41" t="s">
        <v>79</v>
      </c>
      <c r="I798" s="48" t="s">
        <v>2100</v>
      </c>
      <c r="J798" s="42" t="str">
        <f>IFERROR(__xludf.DUMMYFUNCTION("GOOGLETRANSLATE(I798,""en"",""pl"")"),"Kabel Ethernet M12 do kamery BCR, długość 2 metry, stopień ochrony IP68, kolor niebieski, złącze A to złącze M12 z prefabrykowanymi końcówkami, złącze B to złącze RJ45 z prefabrykowanymi końcówkami. Kompatybilny z TNS-9040IBC, TNS-9050IBC, TNS-9060IBC.")</f>
        <v>Kabel Ethernet M12 do kamery BCR, długość 2 metry, stopień ochrony IP68, kolor niebieski, złącze A to złącze M12 z prefabrykowanymi końcówkami, złącze B to złącze RJ45 z prefabrykowanymi końcówkami. Kompatybilny z TNS-9040IBC, TNS-9050IBC, TNS-9060IBC.</v>
      </c>
      <c r="K798" s="43" t="s">
        <v>21</v>
      </c>
      <c r="L798" s="44">
        <v>79.0</v>
      </c>
      <c r="M798" s="8"/>
      <c r="N798" s="45" t="s">
        <v>22</v>
      </c>
      <c r="O798" s="97"/>
      <c r="P798" s="36"/>
      <c r="Q798" s="35"/>
      <c r="R798" s="68"/>
      <c r="S798" s="68"/>
      <c r="T798" s="68"/>
      <c r="U798" s="35"/>
      <c r="V798" s="35"/>
      <c r="W798" s="35"/>
      <c r="X798" s="35"/>
      <c r="Y798" s="35"/>
      <c r="Z798" s="35"/>
      <c r="AA798" s="35"/>
      <c r="AB798" s="35"/>
      <c r="AC798" s="60"/>
      <c r="AD798" s="85"/>
      <c r="AE798" s="85"/>
      <c r="AF798" s="85"/>
      <c r="AG798" s="85"/>
      <c r="AH798" s="85"/>
      <c r="AI798" s="85"/>
      <c r="AJ798" s="85"/>
      <c r="AK798" s="85"/>
      <c r="AL798" s="85"/>
      <c r="AM798" s="85"/>
      <c r="AN798" s="85"/>
      <c r="AO798" s="85"/>
      <c r="AP798" s="85"/>
    </row>
    <row r="799" ht="45.0" customHeight="1">
      <c r="A799" s="29"/>
      <c r="B799" s="38" t="s">
        <v>23</v>
      </c>
      <c r="C799" s="39" t="s">
        <v>2101</v>
      </c>
      <c r="D799" s="40" t="s">
        <v>2091</v>
      </c>
      <c r="E799" s="118"/>
      <c r="F799" s="40"/>
      <c r="G799" s="39" t="s">
        <v>2099</v>
      </c>
      <c r="H799" s="41" t="s">
        <v>79</v>
      </c>
      <c r="I799" s="48" t="s">
        <v>2102</v>
      </c>
      <c r="J799" s="42" t="str">
        <f>IFERROR(__xludf.DUMMYFUNCTION("GOOGLETRANSLATE(I799,""en"",""pl"")"),"Kabel Ethernet M12 do kamery BCR, długość 5 metrów, stopień ochrony IP68, kolor niebieski, złącze A to złącze M12 z prefabrykowaną końcówką, złącze B to złącze RJ45 z prefabrykowaną końcówką. Kompatybilny z TNS-9040IBC, TNS-9050IBC, TNS-9060IBC.")</f>
        <v>Kabel Ethernet M12 do kamery BCR, długość 5 metrów, stopień ochrony IP68, kolor niebieski, złącze A to złącze M12 z prefabrykowaną końcówką, złącze B to złącze RJ45 z prefabrykowaną końcówką. Kompatybilny z TNS-9040IBC, TNS-9050IBC, TNS-9060IBC.</v>
      </c>
      <c r="K799" s="43" t="s">
        <v>21</v>
      </c>
      <c r="L799" s="44">
        <v>97.0</v>
      </c>
      <c r="M799" s="8"/>
      <c r="N799" s="45" t="s">
        <v>22</v>
      </c>
      <c r="O799" s="97"/>
      <c r="P799" s="36"/>
      <c r="Q799" s="35"/>
      <c r="R799" s="68"/>
      <c r="S799" s="68"/>
      <c r="T799" s="68"/>
      <c r="U799" s="35"/>
      <c r="V799" s="35"/>
      <c r="W799" s="35"/>
      <c r="X799" s="35"/>
      <c r="Y799" s="35"/>
      <c r="Z799" s="35"/>
      <c r="AA799" s="35"/>
      <c r="AB799" s="35"/>
      <c r="AC799" s="60"/>
      <c r="AD799" s="85"/>
      <c r="AE799" s="85"/>
      <c r="AF799" s="85"/>
      <c r="AG799" s="85"/>
      <c r="AH799" s="85"/>
      <c r="AI799" s="85"/>
      <c r="AJ799" s="85"/>
      <c r="AK799" s="85"/>
      <c r="AL799" s="85"/>
      <c r="AM799" s="85"/>
      <c r="AN799" s="85"/>
      <c r="AO799" s="85"/>
      <c r="AP799" s="85"/>
    </row>
    <row r="800" ht="45.0" customHeight="1">
      <c r="A800" s="29"/>
      <c r="B800" s="38" t="s">
        <v>23</v>
      </c>
      <c r="C800" s="39" t="s">
        <v>2103</v>
      </c>
      <c r="D800" s="40" t="s">
        <v>2091</v>
      </c>
      <c r="E800" s="118"/>
      <c r="F800" s="40"/>
      <c r="G800" s="39" t="s">
        <v>2099</v>
      </c>
      <c r="H800" s="41" t="s">
        <v>79</v>
      </c>
      <c r="I800" s="48" t="s">
        <v>2104</v>
      </c>
      <c r="J800" s="42" t="str">
        <f>IFERROR(__xludf.DUMMYFUNCTION("GOOGLETRANSLATE(I800,""en"",""pl"")"),"Kabel Ethernet M12 do kamery BCR, długość 10 metrów, stopień ochrony IP68, kolor niebieski, złącze A to złącze M12 z prefabrykowaną końcówką, złącze B to złącze RJ45 z prefabrykowaną końcówką. Kompatybilny z TNS-9040IBC, TNS-9050IBC, TNS-9060IBC.")</f>
        <v>Kabel Ethernet M12 do kamery BCR, długość 10 metrów, stopień ochrony IP68, kolor niebieski, złącze A to złącze M12 z prefabrykowaną końcówką, złącze B to złącze RJ45 z prefabrykowaną końcówką. Kompatybilny z TNS-9040IBC, TNS-9050IBC, TNS-9060IBC.</v>
      </c>
      <c r="K800" s="43" t="s">
        <v>21</v>
      </c>
      <c r="L800" s="44">
        <v>116.0</v>
      </c>
      <c r="M800" s="8"/>
      <c r="N800" s="45" t="s">
        <v>22</v>
      </c>
      <c r="O800" s="97"/>
      <c r="P800" s="36"/>
      <c r="Q800" s="35"/>
      <c r="R800" s="68"/>
      <c r="S800" s="68"/>
      <c r="T800" s="68"/>
      <c r="U800" s="35"/>
      <c r="V800" s="35"/>
      <c r="W800" s="35"/>
      <c r="X800" s="35"/>
      <c r="Y800" s="35"/>
      <c r="Z800" s="35"/>
      <c r="AA800" s="35"/>
      <c r="AB800" s="35"/>
      <c r="AC800" s="60"/>
      <c r="AD800" s="85"/>
      <c r="AE800" s="85"/>
      <c r="AF800" s="85"/>
      <c r="AG800" s="85"/>
      <c r="AH800" s="85"/>
      <c r="AI800" s="85"/>
      <c r="AJ800" s="85"/>
      <c r="AK800" s="85"/>
      <c r="AL800" s="85"/>
      <c r="AM800" s="85"/>
      <c r="AN800" s="85"/>
      <c r="AO800" s="85"/>
      <c r="AP800" s="85"/>
    </row>
    <row r="801" ht="45.0" customHeight="1">
      <c r="A801" s="29"/>
      <c r="B801" s="116" t="s">
        <v>2105</v>
      </c>
      <c r="C801" s="117" t="s">
        <v>2106</v>
      </c>
      <c r="D801" s="118" t="s">
        <v>2107</v>
      </c>
      <c r="E801" s="118"/>
      <c r="F801" s="118"/>
      <c r="G801" s="117" t="s">
        <v>2108</v>
      </c>
      <c r="H801" s="126" t="s">
        <v>170</v>
      </c>
      <c r="I801" s="121" t="s">
        <v>2109</v>
      </c>
      <c r="J801" s="42" t="str">
        <f>IFERROR(__xludf.DUMMYFUNCTION("GOOGLETRANSLATE(I801,""en"",""pl"")"),"Zasilacz biurkowy klasy komercyjnej, wyjście 24 V, 60 W (2,5 A), wtyczka DC 2,1 mm, wtyczka zasilania EU. Kompatybilny z TNS-9040IBC, TNS-9050IBC, TNS-9060IBC.")</f>
        <v>Zasilacz biurkowy klasy komercyjnej, wyjście 24 V, 60 W (2,5 A), wtyczka DC 2,1 mm, wtyczka zasilania EU. Kompatybilny z TNS-9040IBC, TNS-9050IBC, TNS-9060IBC.</v>
      </c>
      <c r="K801" s="43" t="s">
        <v>189</v>
      </c>
      <c r="L801" s="44">
        <v>83.0</v>
      </c>
      <c r="M801" s="8"/>
      <c r="N801" s="45" t="s">
        <v>22</v>
      </c>
      <c r="O801" s="97"/>
      <c r="P801" s="35"/>
      <c r="Q801" s="35"/>
      <c r="R801" s="68"/>
      <c r="S801" s="68"/>
      <c r="T801" s="68"/>
      <c r="U801" s="35"/>
      <c r="V801" s="35"/>
      <c r="W801" s="35"/>
      <c r="X801" s="35"/>
      <c r="Y801" s="35"/>
      <c r="Z801" s="35"/>
      <c r="AA801" s="35"/>
      <c r="AB801" s="35"/>
      <c r="AC801" s="101"/>
      <c r="AD801" s="98"/>
      <c r="AE801" s="98"/>
      <c r="AF801" s="98"/>
      <c r="AG801" s="98"/>
      <c r="AH801" s="98"/>
      <c r="AI801" s="98"/>
      <c r="AJ801" s="98"/>
      <c r="AK801" s="98"/>
      <c r="AL801" s="98"/>
      <c r="AM801" s="98"/>
      <c r="AN801" s="98"/>
      <c r="AO801" s="98"/>
      <c r="AP801" s="98"/>
    </row>
    <row r="802" ht="45.0" customHeight="1">
      <c r="A802" s="29"/>
      <c r="B802" s="116" t="s">
        <v>2105</v>
      </c>
      <c r="C802" s="117" t="s">
        <v>2110</v>
      </c>
      <c r="D802" s="118" t="s">
        <v>2107</v>
      </c>
      <c r="E802" s="118"/>
      <c r="F802" s="118"/>
      <c r="G802" s="117" t="s">
        <v>2111</v>
      </c>
      <c r="H802" s="126" t="s">
        <v>170</v>
      </c>
      <c r="I802" s="121" t="s">
        <v>2112</v>
      </c>
      <c r="J802" s="42" t="str">
        <f>IFERROR(__xludf.DUMMYFUNCTION("GOOGLETRANSLATE(I802,""en"",""pl"")"),"Zasilacz biurkowy klasy komercyjnej, wyjście 24 V, 60 W (2,5 A), wtyczka DC 2,1 mm, wtyczka brytyjska. Kompatybilny z TNS-9040IBC, TNS-9050IBC, TNS-9060IBC.")</f>
        <v>Zasilacz biurkowy klasy komercyjnej, wyjście 24 V, 60 W (2,5 A), wtyczka DC 2,1 mm, wtyczka brytyjska. Kompatybilny z TNS-9040IBC, TNS-9050IBC, TNS-9060IBC.</v>
      </c>
      <c r="K802" s="43" t="s">
        <v>189</v>
      </c>
      <c r="L802" s="44">
        <v>83.0</v>
      </c>
      <c r="M802" s="8"/>
      <c r="N802" s="45" t="s">
        <v>22</v>
      </c>
      <c r="O802" s="97"/>
      <c r="P802" s="35"/>
      <c r="Q802" s="35"/>
      <c r="R802" s="68"/>
      <c r="S802" s="68"/>
      <c r="T802" s="68"/>
      <c r="U802" s="35"/>
      <c r="V802" s="35"/>
      <c r="W802" s="35"/>
      <c r="X802" s="35"/>
      <c r="Y802" s="35"/>
      <c r="Z802" s="35"/>
      <c r="AA802" s="35"/>
      <c r="AB802" s="35"/>
      <c r="AC802" s="101"/>
      <c r="AD802" s="98"/>
      <c r="AE802" s="98"/>
      <c r="AF802" s="98"/>
      <c r="AG802" s="98"/>
      <c r="AH802" s="98"/>
      <c r="AI802" s="98"/>
      <c r="AJ802" s="98"/>
      <c r="AK802" s="98"/>
      <c r="AL802" s="98"/>
      <c r="AM802" s="98"/>
      <c r="AN802" s="98"/>
      <c r="AO802" s="98"/>
      <c r="AP802" s="98"/>
    </row>
    <row r="803" ht="30.0" customHeight="1">
      <c r="A803" s="29"/>
      <c r="B803" s="129" t="s">
        <v>2113</v>
      </c>
      <c r="C803" s="113"/>
      <c r="D803" s="113"/>
      <c r="E803" s="113"/>
      <c r="F803" s="113"/>
      <c r="G803" s="113"/>
      <c r="H803" s="113"/>
      <c r="I803" s="113"/>
      <c r="J803" s="42" t="str">
        <f>IFERROR(__xludf.DUMMYFUNCTION("GOOGLETRANSLATE(I803,""en"",""pl"")"),"#VALUE!")</f>
        <v>#VALUE!</v>
      </c>
      <c r="K803" s="94"/>
      <c r="L803" s="114"/>
      <c r="M803" s="115"/>
      <c r="N803" s="96"/>
      <c r="O803" s="83"/>
      <c r="P803" s="36"/>
      <c r="Q803" s="35"/>
      <c r="R803" s="68"/>
      <c r="S803" s="68"/>
      <c r="T803" s="68"/>
      <c r="U803" s="35"/>
      <c r="V803" s="35"/>
      <c r="W803" s="35"/>
      <c r="X803" s="35"/>
      <c r="Y803" s="35"/>
      <c r="Z803" s="35"/>
      <c r="AA803" s="35"/>
      <c r="AB803" s="35"/>
      <c r="AC803" s="60"/>
      <c r="AD803" s="85"/>
      <c r="AE803" s="85"/>
      <c r="AF803" s="85"/>
      <c r="AG803" s="85"/>
      <c r="AH803" s="85"/>
      <c r="AI803" s="85"/>
      <c r="AJ803" s="85"/>
      <c r="AK803" s="85"/>
      <c r="AL803" s="85"/>
      <c r="AM803" s="85"/>
      <c r="AN803" s="85"/>
      <c r="AO803" s="85"/>
      <c r="AP803" s="85"/>
    </row>
    <row r="804" ht="45.0" customHeight="1">
      <c r="A804" s="29"/>
      <c r="B804" s="116" t="s">
        <v>2113</v>
      </c>
      <c r="C804" s="117" t="s">
        <v>2114</v>
      </c>
      <c r="D804" s="118" t="s">
        <v>2115</v>
      </c>
      <c r="E804" s="118"/>
      <c r="F804" s="118"/>
      <c r="G804" s="117" t="s">
        <v>2116</v>
      </c>
      <c r="H804" s="126" t="s">
        <v>170</v>
      </c>
      <c r="I804" s="121" t="s">
        <v>2117</v>
      </c>
      <c r="J804" s="42" t="str">
        <f>IFERROR(__xludf.DUMMYFUNCTION("GOOGLETRANSLATE(I804,""en"",""pl"")"),"Urządzenie AI umożliwiające dodawanie funkcji AI do kamer bez AI, obsługa do 8 kanałów, maksymalna rozdzielczość 8K, protokoły: SUNAPI, ONVIF, analiza wideo oparta na AI [wykrywanie i klasyfikacja obiektów (osoba, twarz, pojazd, tablica rejestracyjna), at"&amp;"rybut, BestShot], liczenie osób, liczenie pojazdów, zarządzanie kolejkami, mapa cieplna oparta na AI, temperatura pracy: od 0°C do 40°C (od 32°F do 104°F), zasilanie: 12 V DC")</f>
        <v>Urządzenie AI umożliwiające dodawanie funkcji AI do kamer bez AI, obsługa do 8 kanałów, maksymalna rozdzielczość 8K, protokoły: SUNAPI, ONVIF, analiza wideo oparta na AI [wykrywanie i klasyfikacja obiektów (osoba, twarz, pojazd, tablica rejestracyjna), atrybut, BestShot], liczenie osób, liczenie pojazdów, zarządzanie kolejkami, mapa cieplna oparta na AI, temperatura pracy: od 0°C do 40°C (od 32°F do 104°F), zasilanie: 12 V DC</v>
      </c>
      <c r="K804" s="43" t="s">
        <v>189</v>
      </c>
      <c r="L804" s="44">
        <v>4350.0</v>
      </c>
      <c r="M804" s="8"/>
      <c r="N804" s="45" t="s">
        <v>22</v>
      </c>
      <c r="O804" s="97"/>
      <c r="P804" s="36"/>
      <c r="Q804" s="35"/>
      <c r="R804" s="68"/>
      <c r="S804" s="68"/>
      <c r="T804" s="68"/>
      <c r="U804" s="35"/>
      <c r="V804" s="35"/>
      <c r="W804" s="35"/>
      <c r="X804" s="35"/>
      <c r="Y804" s="35"/>
      <c r="Z804" s="35"/>
      <c r="AA804" s="35"/>
      <c r="AB804" s="35"/>
      <c r="AC804" s="60"/>
      <c r="AD804" s="85"/>
      <c r="AE804" s="85"/>
      <c r="AF804" s="85"/>
      <c r="AG804" s="85"/>
      <c r="AH804" s="85"/>
      <c r="AI804" s="85"/>
      <c r="AJ804" s="85"/>
      <c r="AK804" s="85"/>
      <c r="AL804" s="85"/>
      <c r="AM804" s="85"/>
      <c r="AN804" s="85"/>
      <c r="AO804" s="85"/>
      <c r="AP804" s="85"/>
    </row>
    <row r="805" ht="30.0" customHeight="1">
      <c r="A805" s="29"/>
      <c r="B805" s="129" t="s">
        <v>2118</v>
      </c>
      <c r="C805" s="113"/>
      <c r="D805" s="113"/>
      <c r="E805" s="113"/>
      <c r="F805" s="113"/>
      <c r="G805" s="113"/>
      <c r="H805" s="113"/>
      <c r="I805" s="113"/>
      <c r="J805" s="42" t="str">
        <f>IFERROR(__xludf.DUMMYFUNCTION("GOOGLETRANSLATE(I805,""en"",""pl"")"),"#VALUE!")</f>
        <v>#VALUE!</v>
      </c>
      <c r="K805" s="94"/>
      <c r="L805" s="114"/>
      <c r="M805" s="115"/>
      <c r="N805" s="96"/>
      <c r="O805" s="83"/>
      <c r="P805" s="36"/>
      <c r="Q805" s="35"/>
      <c r="R805" s="68"/>
      <c r="S805" s="68"/>
      <c r="T805" s="68"/>
      <c r="U805" s="35"/>
      <c r="V805" s="35"/>
      <c r="W805" s="35"/>
      <c r="X805" s="35"/>
      <c r="Y805" s="35"/>
      <c r="Z805" s="35"/>
      <c r="AA805" s="35"/>
      <c r="AB805" s="35"/>
      <c r="AC805" s="60"/>
      <c r="AD805" s="85"/>
      <c r="AE805" s="85"/>
      <c r="AF805" s="85"/>
      <c r="AG805" s="85"/>
      <c r="AH805" s="85"/>
      <c r="AI805" s="85"/>
      <c r="AJ805" s="85"/>
      <c r="AK805" s="85"/>
      <c r="AL805" s="85"/>
      <c r="AM805" s="85"/>
      <c r="AN805" s="85"/>
      <c r="AO805" s="85"/>
      <c r="AP805" s="85"/>
    </row>
    <row r="806" ht="46.5" customHeight="1">
      <c r="A806" s="29"/>
      <c r="B806" s="116" t="s">
        <v>2119</v>
      </c>
      <c r="C806" s="117" t="s">
        <v>2120</v>
      </c>
      <c r="D806" s="118" t="s">
        <v>2121</v>
      </c>
      <c r="E806" s="118" t="s">
        <v>2122</v>
      </c>
      <c r="F806" s="118"/>
      <c r="G806" s="117" t="s">
        <v>2123</v>
      </c>
      <c r="H806" s="126"/>
      <c r="I806" s="121" t="s">
        <v>2124</v>
      </c>
      <c r="J806" s="42" t="str">
        <f>IFERROR(__xludf.DUMMYFUNCTION("GOOGLETRANSLATE(I806,""en"",""pl"")"),"Vision Insight, lokalny, internetowy panel Business Intelligence (BI) z dynamicznymi widżetami, danymi statystycznymi, mapą cieplną, monitorowaniem planu pięter, monitorowaniem stanu kamer, monitorowaniem zdarzeń, obsługą pojedynczej/wielolokalizacyjną, r"&amp;"aportowaniem i zarządzaniem użytkownikami. Licencja podstawowa jest bezterminowa i obejmuje 4 kanały. Licencja podstawowa jest obowiązkowa dla każdego serwera systemu.")</f>
        <v>Vision Insight, lokalny, internetowy panel Business Intelligence (BI) z dynamicznymi widżetami, danymi statystycznymi, mapą cieplną, monitorowaniem planu pięter, monitorowaniem stanu kamer, monitorowaniem zdarzeń, obsługą pojedynczej/wielolokalizacyjną, raportowaniem i zarządzaniem użytkownikami. Licencja podstawowa jest bezterminowa i obejmuje 4 kanały. Licencja podstawowa jest obowiązkowa dla każdego serwera systemu.</v>
      </c>
      <c r="K806" s="43" t="s">
        <v>189</v>
      </c>
      <c r="L806" s="44">
        <v>1320.0</v>
      </c>
      <c r="M806" s="8"/>
      <c r="N806" s="45" t="s">
        <v>81</v>
      </c>
      <c r="O806" s="97"/>
      <c r="P806" s="36"/>
      <c r="Q806" s="35"/>
      <c r="R806" s="68"/>
      <c r="S806" s="68"/>
      <c r="T806" s="68"/>
      <c r="U806" s="35"/>
      <c r="V806" s="35"/>
      <c r="W806" s="35"/>
      <c r="X806" s="35"/>
      <c r="Y806" s="35"/>
      <c r="Z806" s="35"/>
      <c r="AA806" s="35"/>
      <c r="AB806" s="35"/>
      <c r="AC806" s="60"/>
      <c r="AD806" s="85"/>
      <c r="AE806" s="85"/>
      <c r="AF806" s="85"/>
      <c r="AG806" s="85"/>
      <c r="AH806" s="85"/>
      <c r="AI806" s="85"/>
      <c r="AJ806" s="85"/>
      <c r="AK806" s="85"/>
      <c r="AL806" s="85"/>
      <c r="AM806" s="85"/>
      <c r="AN806" s="85"/>
      <c r="AO806" s="85"/>
      <c r="AP806" s="85"/>
    </row>
    <row r="807" ht="46.5" customHeight="1">
      <c r="A807" s="29"/>
      <c r="B807" s="116" t="s">
        <v>2119</v>
      </c>
      <c r="C807" s="117" t="s">
        <v>2125</v>
      </c>
      <c r="D807" s="118" t="s">
        <v>2126</v>
      </c>
      <c r="E807" s="118" t="s">
        <v>2122</v>
      </c>
      <c r="F807" s="118"/>
      <c r="G807" s="117" t="s">
        <v>2123</v>
      </c>
      <c r="H807" s="126"/>
      <c r="I807" s="121" t="s">
        <v>2127</v>
      </c>
      <c r="J807" s="42" t="str">
        <f>IFERROR(__xludf.DUMMYFUNCTION("GOOGLETRANSLATE(I807,""en"",""pl"")"),"Vision Insight, lokalny, internetowy panel Business Intelligence (BI) z dynamicznymi widżetami, danymi statystycznymi, mapą cieplną, monitorowaniem planu pięter, monitorowaniem stanu kamer, monitorowaniem zdarzeń, obsługą pojedynczej/wielolokacyjnej lokal"&amp;"izacji, raportowaniem i zarządzaniem użytkownikami. Licencja jest jednokanałowa i bezterminowa. Uwaga: wymaga licencji podstawowej dla każdego serwera systemu.")</f>
        <v>Vision Insight, lokalny, internetowy panel Business Intelligence (BI) z dynamicznymi widżetami, danymi statystycznymi, mapą cieplną, monitorowaniem planu pięter, monitorowaniem stanu kamer, monitorowaniem zdarzeń, obsługą pojedynczej/wielolokacyjnej lokalizacji, raportowaniem i zarządzaniem użytkownikami. Licencja jest jednokanałowa i bezterminowa. Uwaga: wymaga licencji podstawowej dla każdego serwera systemu.</v>
      </c>
      <c r="K807" s="43" t="s">
        <v>189</v>
      </c>
      <c r="L807" s="44">
        <v>330.0</v>
      </c>
      <c r="M807" s="8"/>
      <c r="N807" s="45" t="s">
        <v>81</v>
      </c>
      <c r="O807" s="97"/>
      <c r="P807" s="36"/>
      <c r="Q807" s="35"/>
      <c r="R807" s="68"/>
      <c r="S807" s="68"/>
      <c r="T807" s="68"/>
      <c r="U807" s="35"/>
      <c r="V807" s="35"/>
      <c r="W807" s="35"/>
      <c r="X807" s="35"/>
      <c r="Y807" s="35"/>
      <c r="Z807" s="35"/>
      <c r="AA807" s="35"/>
      <c r="AB807" s="35"/>
      <c r="AC807" s="60"/>
      <c r="AD807" s="85"/>
      <c r="AE807" s="85"/>
      <c r="AF807" s="85"/>
      <c r="AG807" s="85"/>
      <c r="AH807" s="85"/>
      <c r="AI807" s="85"/>
      <c r="AJ807" s="85"/>
      <c r="AK807" s="85"/>
      <c r="AL807" s="85"/>
      <c r="AM807" s="85"/>
      <c r="AN807" s="85"/>
      <c r="AO807" s="85"/>
      <c r="AP807" s="85"/>
    </row>
    <row r="808" ht="30.0" customHeight="1">
      <c r="A808" s="29"/>
      <c r="B808" s="129" t="s">
        <v>2128</v>
      </c>
      <c r="C808" s="113"/>
      <c r="D808" s="113"/>
      <c r="E808" s="113"/>
      <c r="F808" s="113"/>
      <c r="G808" s="113"/>
      <c r="H808" s="113"/>
      <c r="I808" s="113"/>
      <c r="J808" s="42" t="str">
        <f>IFERROR(__xludf.DUMMYFUNCTION("GOOGLETRANSLATE(I808,""en"",""pl"")"),"#VALUE!")</f>
        <v>#VALUE!</v>
      </c>
      <c r="K808" s="94"/>
      <c r="L808" s="114"/>
      <c r="M808" s="115"/>
      <c r="N808" s="96"/>
      <c r="O808" s="83"/>
      <c r="P808" s="36"/>
      <c r="Q808" s="35"/>
      <c r="R808" s="68"/>
      <c r="S808" s="68"/>
      <c r="T808" s="68"/>
      <c r="U808" s="35"/>
      <c r="V808" s="35"/>
      <c r="W808" s="35"/>
      <c r="X808" s="35"/>
      <c r="Y808" s="35"/>
      <c r="Z808" s="35"/>
      <c r="AA808" s="35"/>
      <c r="AB808" s="35"/>
      <c r="AC808" s="60"/>
      <c r="AD808" s="85"/>
      <c r="AE808" s="85"/>
      <c r="AF808" s="85"/>
      <c r="AG808" s="85"/>
      <c r="AH808" s="85"/>
      <c r="AI808" s="85"/>
      <c r="AJ808" s="85"/>
      <c r="AK808" s="85"/>
      <c r="AL808" s="85"/>
      <c r="AM808" s="85"/>
      <c r="AN808" s="85"/>
      <c r="AO808" s="85"/>
      <c r="AP808" s="85"/>
    </row>
    <row r="809" ht="46.5" customHeight="1">
      <c r="A809" s="29"/>
      <c r="B809" s="116" t="s">
        <v>2128</v>
      </c>
      <c r="C809" s="117" t="s">
        <v>2129</v>
      </c>
      <c r="D809" s="118" t="s">
        <v>2130</v>
      </c>
      <c r="E809" s="118"/>
      <c r="F809" s="118"/>
      <c r="G809" s="117" t="s">
        <v>2131</v>
      </c>
      <c r="H809" s="126" t="s">
        <v>170</v>
      </c>
      <c r="I809" s="121" t="s">
        <v>2132</v>
      </c>
      <c r="J809" s="42" t="str">
        <f>IFERROR(__xludf.DUMMYFUNCTION("GOOGLETRANSLATE(I809,""en"",""pl"")"),"Licencja na jedną kamerę do aplikacji Open Platform do wykrywania zablokowanych wyjść.
Do zainstalowania w kompatybilnych kamerach serii P (PNV-A9081R, PNO-A9081R​, PND-A9081RV, PND-A9081RF​, PNB-A9001, PNV-A6081R​, PNO-A6081R, PND-A6081RV, PND-A6081RF​)."&amp;" Ta analiza wymaga zainstalowania aplikacji WiseAI.")</f>
        <v>Licencja na jedną kamerę do aplikacji Open Platform do wykrywania zablokowanych wyjść.
Do zainstalowania w kompatybilnych kamerach serii P (PNV-A9081R, PNO-A9081R​, PND-A9081RV, PND-A9081RF​, PNB-A9001, PNV-A6081R​, PNO-A6081R, PND-A6081RV, PND-A6081RF​). Ta analiza wymaga zainstalowania aplikacji WiseAI.</v>
      </c>
      <c r="K809" s="43" t="s">
        <v>189</v>
      </c>
      <c r="L809" s="122">
        <v>100.0</v>
      </c>
      <c r="M809" s="8"/>
      <c r="N809" s="45" t="s">
        <v>22</v>
      </c>
      <c r="O809" s="97"/>
      <c r="P809" s="36"/>
      <c r="Q809" s="35"/>
      <c r="R809" s="68"/>
      <c r="S809" s="68"/>
      <c r="T809" s="68"/>
      <c r="U809" s="35"/>
      <c r="V809" s="35"/>
      <c r="W809" s="35"/>
      <c r="X809" s="35"/>
      <c r="Y809" s="35"/>
      <c r="Z809" s="35"/>
      <c r="AA809" s="35"/>
      <c r="AB809" s="35"/>
      <c r="AC809" s="60"/>
      <c r="AD809" s="85"/>
      <c r="AE809" s="85"/>
      <c r="AF809" s="85"/>
      <c r="AG809" s="85"/>
      <c r="AH809" s="85"/>
      <c r="AI809" s="85"/>
      <c r="AJ809" s="85"/>
      <c r="AK809" s="85"/>
      <c r="AL809" s="85"/>
      <c r="AM809" s="85"/>
      <c r="AN809" s="85"/>
      <c r="AO809" s="85"/>
      <c r="AP809" s="85"/>
    </row>
    <row r="810" ht="46.5" customHeight="1">
      <c r="A810" s="29"/>
      <c r="B810" s="116" t="s">
        <v>2128</v>
      </c>
      <c r="C810" s="117" t="s">
        <v>2133</v>
      </c>
      <c r="D810" s="118" t="s">
        <v>2134</v>
      </c>
      <c r="E810" s="118"/>
      <c r="F810" s="118"/>
      <c r="G810" s="117" t="s">
        <v>2131</v>
      </c>
      <c r="H810" s="126" t="s">
        <v>170</v>
      </c>
      <c r="I810" s="121" t="s">
        <v>2135</v>
      </c>
      <c r="J810" s="42" t="str">
        <f>IFERROR(__xludf.DUMMYFUNCTION("GOOGLETRANSLATE(I810,""en"",""pl"")"),"Licencja na jedną kamerę do aplikacji Factory and Safety Open Platform.
Do instalacji w kompatybilnych kamerach serii P (PNV-A9081R, PNO-A9081R​, PND-A9081RV, PND-A9081RF​, PNB-A9001, PNV-A6081R​, PNO-A6081R, PND-A6081RV, PND-A6081RF​)")</f>
        <v>Licencja na jedną kamerę do aplikacji Factory and Safety Open Platform.
Do instalacji w kompatybilnych kamerach serii P (PNV-A9081R, PNO-A9081R​, PND-A9081RV, PND-A9081RF​, PNB-A9001, PNV-A6081R​, PNO-A6081R, PND-A6081RV, PND-A6081RF​)</v>
      </c>
      <c r="K810" s="43" t="s">
        <v>189</v>
      </c>
      <c r="L810" s="122">
        <v>300.0</v>
      </c>
      <c r="M810" s="8"/>
      <c r="N810" s="45" t="s">
        <v>22</v>
      </c>
      <c r="O810" s="97"/>
      <c r="P810" s="36"/>
      <c r="Q810" s="35"/>
      <c r="R810" s="68"/>
      <c r="S810" s="68"/>
      <c r="T810" s="68"/>
      <c r="U810" s="35"/>
      <c r="V810" s="35"/>
      <c r="W810" s="35"/>
      <c r="X810" s="35"/>
      <c r="Y810" s="35"/>
      <c r="Z810" s="35"/>
      <c r="AA810" s="35"/>
      <c r="AB810" s="35"/>
      <c r="AC810" s="60"/>
      <c r="AD810" s="85"/>
      <c r="AE810" s="85"/>
      <c r="AF810" s="85"/>
      <c r="AG810" s="85"/>
      <c r="AH810" s="85"/>
      <c r="AI810" s="85"/>
      <c r="AJ810" s="85"/>
      <c r="AK810" s="85"/>
      <c r="AL810" s="85"/>
      <c r="AM810" s="85"/>
      <c r="AN810" s="85"/>
      <c r="AO810" s="85"/>
      <c r="AP810" s="85"/>
    </row>
    <row r="811" ht="46.5" customHeight="1">
      <c r="A811" s="29"/>
      <c r="B811" s="116" t="s">
        <v>2128</v>
      </c>
      <c r="C811" s="117" t="s">
        <v>2136</v>
      </c>
      <c r="D811" s="118" t="s">
        <v>2137</v>
      </c>
      <c r="E811" s="118"/>
      <c r="F811" s="118"/>
      <c r="G811" s="117" t="s">
        <v>2131</v>
      </c>
      <c r="H811" s="126" t="s">
        <v>170</v>
      </c>
      <c r="I811" s="121" t="s">
        <v>2138</v>
      </c>
      <c r="J811" s="42" t="str">
        <f>IFERROR(__xludf.DUMMYFUNCTION("GOOGLETRANSLATE(I811,""en"",""pl"")"),"Licencja na jedną kamerę do pakietu Open Platform Application dla handlu detalicznego i firm.
Do instalacji na kompatybilnych kamerach serii P (PNV-A9081R, PNO-A9081R​, PND-A9081RV, PND-A9081RF​, PNB-A9001, PNV-A6081R​, PNO-A6081R, PND-A6081RV, PND-A6081R"&amp;"F​)")</f>
        <v>Licencja na jedną kamerę do pakietu Open Platform Application dla handlu detalicznego i firm.
Do instalacji na kompatybilnych kamerach serii P (PNV-A9081R, PNO-A9081R​, PND-A9081RV, PND-A9081RF​, PNB-A9001, PNV-A6081R​, PNO-A6081R, PND-A6081RV, PND-A6081RF​)</v>
      </c>
      <c r="K811" s="43" t="s">
        <v>189</v>
      </c>
      <c r="L811" s="122">
        <v>200.0</v>
      </c>
      <c r="M811" s="8"/>
      <c r="N811" s="45" t="s">
        <v>22</v>
      </c>
      <c r="O811" s="97"/>
      <c r="P811" s="36"/>
      <c r="Q811" s="35"/>
      <c r="R811" s="68"/>
      <c r="S811" s="68"/>
      <c r="T811" s="68"/>
      <c r="U811" s="35"/>
      <c r="V811" s="35"/>
      <c r="W811" s="35"/>
      <c r="X811" s="35"/>
      <c r="Y811" s="35"/>
      <c r="Z811" s="35"/>
      <c r="AA811" s="35"/>
      <c r="AB811" s="35"/>
      <c r="AC811" s="60"/>
      <c r="AD811" s="85"/>
      <c r="AE811" s="85"/>
      <c r="AF811" s="85"/>
      <c r="AG811" s="85"/>
      <c r="AH811" s="85"/>
      <c r="AI811" s="85"/>
      <c r="AJ811" s="85"/>
      <c r="AK811" s="85"/>
      <c r="AL811" s="85"/>
      <c r="AM811" s="85"/>
      <c r="AN811" s="85"/>
      <c r="AO811" s="85"/>
      <c r="AP811" s="85"/>
    </row>
    <row r="812" ht="46.5" customHeight="1">
      <c r="A812" s="29"/>
      <c r="B812" s="116" t="s">
        <v>2128</v>
      </c>
      <c r="C812" s="117" t="s">
        <v>2139</v>
      </c>
      <c r="D812" s="118" t="s">
        <v>2140</v>
      </c>
      <c r="E812" s="118"/>
      <c r="F812" s="118"/>
      <c r="G812" s="117" t="s">
        <v>2131</v>
      </c>
      <c r="H812" s="126" t="s">
        <v>170</v>
      </c>
      <c r="I812" s="121" t="s">
        <v>2141</v>
      </c>
      <c r="J812" s="42" t="str">
        <f>IFERROR(__xludf.DUMMYFUNCTION("GOOGLETRANSLATE(I812,""en"",""pl"")"),"Licencja na jedną kamerę do aplikacji Intellgent Traffic Solution Open Platform.
Do instalacji na kompatybilnych kamerach serii P (PNV-A9081R, PNO-A9081R​, PND-A9081RV, PND-A9081RF​, PNB-A9001, PNV-A6081R​, PNO-A6081R, PND-A6081RV, PND-A6081RF​)")</f>
        <v>Licencja na jedną kamerę do aplikacji Intellgent Traffic Solution Open Platform.
Do instalacji na kompatybilnych kamerach serii P (PNV-A9081R, PNO-A9081R​, PND-A9081RV, PND-A9081RF​, PNB-A9001, PNV-A6081R​, PNO-A6081R, PND-A6081RV, PND-A6081RF​)</v>
      </c>
      <c r="K812" s="43" t="s">
        <v>189</v>
      </c>
      <c r="L812" s="122">
        <v>500.0</v>
      </c>
      <c r="M812" s="8"/>
      <c r="N812" s="45" t="s">
        <v>22</v>
      </c>
      <c r="O812" s="97"/>
      <c r="P812" s="36"/>
      <c r="Q812" s="35"/>
      <c r="R812" s="68"/>
      <c r="S812" s="68"/>
      <c r="T812" s="68"/>
      <c r="U812" s="35"/>
      <c r="V812" s="35"/>
      <c r="W812" s="35"/>
      <c r="X812" s="35"/>
      <c r="Y812" s="35"/>
      <c r="Z812" s="35"/>
      <c r="AA812" s="35"/>
      <c r="AB812" s="35"/>
      <c r="AC812" s="60"/>
      <c r="AD812" s="85"/>
      <c r="AE812" s="85"/>
      <c r="AF812" s="85"/>
      <c r="AG812" s="85"/>
      <c r="AH812" s="85"/>
      <c r="AI812" s="85"/>
      <c r="AJ812" s="85"/>
      <c r="AK812" s="85"/>
      <c r="AL812" s="85"/>
      <c r="AM812" s="85"/>
      <c r="AN812" s="85"/>
      <c r="AO812" s="85"/>
      <c r="AP812" s="85"/>
    </row>
    <row r="813" ht="30.0" customHeight="1">
      <c r="A813" s="29"/>
      <c r="B813" s="129" t="s">
        <v>2142</v>
      </c>
      <c r="C813" s="113"/>
      <c r="D813" s="113"/>
      <c r="E813" s="113"/>
      <c r="F813" s="113"/>
      <c r="G813" s="113"/>
      <c r="H813" s="113"/>
      <c r="I813" s="113"/>
      <c r="J813" s="42" t="str">
        <f>IFERROR(__xludf.DUMMYFUNCTION("GOOGLETRANSLATE(I813,""en"",""pl"")"),"#VALUE!")</f>
        <v>#VALUE!</v>
      </c>
      <c r="K813" s="94"/>
      <c r="L813" s="114"/>
      <c r="M813" s="115"/>
      <c r="N813" s="96"/>
      <c r="O813" s="83"/>
      <c r="P813" s="36"/>
      <c r="Q813" s="35"/>
      <c r="R813" s="68"/>
      <c r="S813" s="68"/>
      <c r="T813" s="68"/>
      <c r="U813" s="35"/>
      <c r="V813" s="35"/>
      <c r="W813" s="35"/>
      <c r="X813" s="35"/>
      <c r="Y813" s="35"/>
      <c r="Z813" s="35"/>
      <c r="AA813" s="35"/>
      <c r="AB813" s="35"/>
      <c r="AC813" s="60"/>
      <c r="AD813" s="85"/>
      <c r="AE813" s="85"/>
      <c r="AF813" s="85"/>
      <c r="AG813" s="85"/>
      <c r="AH813" s="85"/>
      <c r="AI813" s="85"/>
      <c r="AJ813" s="85"/>
      <c r="AK813" s="85"/>
      <c r="AL813" s="85"/>
      <c r="AM813" s="85"/>
      <c r="AN813" s="85"/>
      <c r="AO813" s="85"/>
      <c r="AP813" s="85"/>
    </row>
    <row r="814" ht="49.5" customHeight="1">
      <c r="A814" s="29"/>
      <c r="B814" s="116" t="s">
        <v>2143</v>
      </c>
      <c r="C814" s="117" t="s">
        <v>2144</v>
      </c>
      <c r="D814" s="118" t="s">
        <v>2145</v>
      </c>
      <c r="E814" s="118"/>
      <c r="F814" s="118"/>
      <c r="G814" s="117" t="s">
        <v>2142</v>
      </c>
      <c r="H814" s="126" t="s">
        <v>170</v>
      </c>
      <c r="I814" s="121" t="s">
        <v>2146</v>
      </c>
      <c r="J814" s="42" t="str">
        <f>IFERROR(__xludf.DUMMYFUNCTION("GOOGLETRANSLATE(I814,""en"",""pl"")"),"SSM 2.x Core Server - HTW, licencja przeglądania ONVIF")</f>
        <v>SSM 2.x Core Server - HTW, licencja przeglądania ONVIF</v>
      </c>
      <c r="K814" s="43" t="s">
        <v>189</v>
      </c>
      <c r="L814" s="122" t="s">
        <v>2147</v>
      </c>
      <c r="M814" s="8"/>
      <c r="N814" s="45" t="s">
        <v>81</v>
      </c>
      <c r="O814" s="97"/>
      <c r="P814" s="36"/>
      <c r="Q814" s="35"/>
      <c r="R814" s="68"/>
      <c r="S814" s="68"/>
      <c r="T814" s="68"/>
      <c r="U814" s="35"/>
      <c r="V814" s="35"/>
      <c r="W814" s="35"/>
      <c r="X814" s="35"/>
      <c r="Y814" s="35"/>
      <c r="Z814" s="35"/>
      <c r="AA814" s="35"/>
      <c r="AB814" s="35"/>
      <c r="AC814" s="60"/>
      <c r="AD814" s="85"/>
      <c r="AE814" s="85"/>
      <c r="AF814" s="85"/>
      <c r="AG814" s="85"/>
      <c r="AH814" s="85"/>
      <c r="AI814" s="85"/>
      <c r="AJ814" s="85"/>
      <c r="AK814" s="85"/>
      <c r="AL814" s="85"/>
      <c r="AM814" s="85"/>
      <c r="AN814" s="85"/>
      <c r="AO814" s="85"/>
      <c r="AP814" s="85"/>
    </row>
    <row r="815" ht="49.5" customHeight="1">
      <c r="A815" s="29"/>
      <c r="B815" s="38" t="s">
        <v>2143</v>
      </c>
      <c r="C815" s="39" t="s">
        <v>2148</v>
      </c>
      <c r="D815" s="40" t="s">
        <v>2149</v>
      </c>
      <c r="E815" s="40"/>
      <c r="F815" s="40"/>
      <c r="G815" s="39" t="s">
        <v>2142</v>
      </c>
      <c r="H815" s="41" t="s">
        <v>170</v>
      </c>
      <c r="I815" s="48" t="s">
        <v>2150</v>
      </c>
      <c r="J815" s="42" t="str">
        <f>IFERROR(__xludf.DUMMYFUNCTION("GOOGLETRANSLATE(I815,""en"",""pl"")"),"SSM 2.x Core Server - licencja na nagrywanie 1CH HTW, ONVIF")</f>
        <v>SSM 2.x Core Server - licencja na nagrywanie 1CH HTW, ONVIF</v>
      </c>
      <c r="K815" s="43" t="s">
        <v>189</v>
      </c>
      <c r="L815" s="44">
        <v>95.0</v>
      </c>
      <c r="M815" s="8"/>
      <c r="N815" s="45" t="s">
        <v>22</v>
      </c>
      <c r="O815" s="97"/>
      <c r="P815" s="36"/>
      <c r="Q815" s="35"/>
      <c r="R815" s="68"/>
      <c r="S815" s="68"/>
      <c r="T815" s="68"/>
      <c r="U815" s="35"/>
      <c r="V815" s="35"/>
      <c r="W815" s="35"/>
      <c r="X815" s="35"/>
      <c r="Y815" s="35"/>
      <c r="Z815" s="35"/>
      <c r="AA815" s="35"/>
      <c r="AB815" s="35"/>
      <c r="AC815" s="60"/>
      <c r="AD815" s="85"/>
      <c r="AE815" s="85"/>
      <c r="AF815" s="85"/>
      <c r="AG815" s="85"/>
      <c r="AH815" s="85"/>
      <c r="AI815" s="85"/>
      <c r="AJ815" s="85"/>
      <c r="AK815" s="85"/>
      <c r="AL815" s="85"/>
      <c r="AM815" s="85"/>
      <c r="AN815" s="85"/>
      <c r="AO815" s="85"/>
      <c r="AP815" s="85"/>
    </row>
    <row r="816" ht="49.5" customHeight="1">
      <c r="A816" s="29"/>
      <c r="B816" s="38" t="s">
        <v>2143</v>
      </c>
      <c r="C816" s="39" t="s">
        <v>2151</v>
      </c>
      <c r="D816" s="40" t="s">
        <v>2152</v>
      </c>
      <c r="E816" s="40"/>
      <c r="F816" s="40"/>
      <c r="G816" s="39" t="s">
        <v>2142</v>
      </c>
      <c r="H816" s="41" t="s">
        <v>170</v>
      </c>
      <c r="I816" s="48" t="s">
        <v>2153</v>
      </c>
      <c r="J816" s="42" t="str">
        <f>IFERROR(__xludf.DUMMYFUNCTION("GOOGLETRANSLATE(I816,""en"",""pl"")"),"Serwer SSM 2.x Core — nagrywanie 4CH HTW, ONVIF")</f>
        <v>Serwer SSM 2.x Core — nagrywanie 4CH HTW, ONVIF</v>
      </c>
      <c r="K816" s="43" t="s">
        <v>189</v>
      </c>
      <c r="L816" s="44">
        <v>380.0</v>
      </c>
      <c r="M816" s="8"/>
      <c r="N816" s="45" t="s">
        <v>22</v>
      </c>
      <c r="O816" s="97"/>
      <c r="P816" s="36"/>
      <c r="Q816" s="35"/>
      <c r="R816" s="68"/>
      <c r="S816" s="68"/>
      <c r="T816" s="68"/>
      <c r="U816" s="35"/>
      <c r="V816" s="35"/>
      <c r="W816" s="35"/>
      <c r="X816" s="35"/>
      <c r="Y816" s="35"/>
      <c r="Z816" s="35"/>
      <c r="AA816" s="35"/>
      <c r="AB816" s="35"/>
      <c r="AC816" s="60"/>
      <c r="AD816" s="85"/>
      <c r="AE816" s="85"/>
      <c r="AF816" s="85"/>
      <c r="AG816" s="85"/>
      <c r="AH816" s="85"/>
      <c r="AI816" s="85"/>
      <c r="AJ816" s="85"/>
      <c r="AK816" s="85"/>
      <c r="AL816" s="85"/>
      <c r="AM816" s="85"/>
      <c r="AN816" s="85"/>
      <c r="AO816" s="85"/>
      <c r="AP816" s="85"/>
    </row>
    <row r="817" ht="49.5" customHeight="1">
      <c r="A817" s="29"/>
      <c r="B817" s="38" t="s">
        <v>2143</v>
      </c>
      <c r="C817" s="39" t="s">
        <v>2154</v>
      </c>
      <c r="D817" s="40" t="s">
        <v>2155</v>
      </c>
      <c r="E817" s="40"/>
      <c r="F817" s="40"/>
      <c r="G817" s="39" t="s">
        <v>2142</v>
      </c>
      <c r="H817" s="41" t="s">
        <v>170</v>
      </c>
      <c r="I817" s="48" t="s">
        <v>2156</v>
      </c>
      <c r="J817" s="42" t="str">
        <f>IFERROR(__xludf.DUMMYFUNCTION("GOOGLETRANSLATE(I817,""en"",""pl"")"),"Serwer SSM 2.x Core — nagrywanie 8-kanałowe HTW, ONVIF")</f>
        <v>Serwer SSM 2.x Core — nagrywanie 8-kanałowe HTW, ONVIF</v>
      </c>
      <c r="K817" s="43" t="s">
        <v>189</v>
      </c>
      <c r="L817" s="44">
        <v>760.0</v>
      </c>
      <c r="M817" s="8"/>
      <c r="N817" s="45" t="s">
        <v>22</v>
      </c>
      <c r="O817" s="97"/>
      <c r="P817" s="36"/>
      <c r="Q817" s="35"/>
      <c r="R817" s="68"/>
      <c r="S817" s="68"/>
      <c r="T817" s="68"/>
      <c r="U817" s="35"/>
      <c r="V817" s="35"/>
      <c r="W817" s="35"/>
      <c r="X817" s="35"/>
      <c r="Y817" s="35"/>
      <c r="Z817" s="35"/>
      <c r="AA817" s="35"/>
      <c r="AB817" s="35"/>
      <c r="AC817" s="60"/>
      <c r="AD817" s="85"/>
      <c r="AE817" s="85"/>
      <c r="AF817" s="85"/>
      <c r="AG817" s="85"/>
      <c r="AH817" s="85"/>
      <c r="AI817" s="85"/>
      <c r="AJ817" s="85"/>
      <c r="AK817" s="85"/>
      <c r="AL817" s="85"/>
      <c r="AM817" s="85"/>
      <c r="AN817" s="85"/>
      <c r="AO817" s="85"/>
      <c r="AP817" s="85"/>
    </row>
    <row r="818" ht="49.5" customHeight="1">
      <c r="A818" s="29"/>
      <c r="B818" s="38" t="s">
        <v>2143</v>
      </c>
      <c r="C818" s="39" t="s">
        <v>2157</v>
      </c>
      <c r="D818" s="40" t="s">
        <v>2158</v>
      </c>
      <c r="E818" s="40"/>
      <c r="F818" s="40"/>
      <c r="G818" s="39" t="s">
        <v>2142</v>
      </c>
      <c r="H818" s="41" t="s">
        <v>170</v>
      </c>
      <c r="I818" s="48" t="s">
        <v>2159</v>
      </c>
      <c r="J818" s="42" t="str">
        <f>IFERROR(__xludf.DUMMYFUNCTION("GOOGLETRANSLATE(I818,""en"",""pl"")"),"Serwer SSM 2.x Core — nagrywanie 16 kanałów HTW, ONVIF")</f>
        <v>Serwer SSM 2.x Core — nagrywanie 16 kanałów HTW, ONVIF</v>
      </c>
      <c r="K818" s="43" t="s">
        <v>189</v>
      </c>
      <c r="L818" s="44">
        <v>1520.0</v>
      </c>
      <c r="M818" s="8"/>
      <c r="N818" s="45" t="s">
        <v>22</v>
      </c>
      <c r="O818" s="97"/>
      <c r="P818" s="36"/>
      <c r="Q818" s="35"/>
      <c r="R818" s="68"/>
      <c r="S818" s="68"/>
      <c r="T818" s="68"/>
      <c r="U818" s="35"/>
      <c r="V818" s="35"/>
      <c r="W818" s="35"/>
      <c r="X818" s="35"/>
      <c r="Y818" s="35"/>
      <c r="Z818" s="35"/>
      <c r="AA818" s="35"/>
      <c r="AB818" s="35"/>
      <c r="AC818" s="60"/>
      <c r="AD818" s="85"/>
      <c r="AE818" s="85"/>
      <c r="AF818" s="85"/>
      <c r="AG818" s="85"/>
      <c r="AH818" s="85"/>
      <c r="AI818" s="85"/>
      <c r="AJ818" s="85"/>
      <c r="AK818" s="85"/>
      <c r="AL818" s="85"/>
      <c r="AM818" s="85"/>
      <c r="AN818" s="85"/>
      <c r="AO818" s="85"/>
      <c r="AP818" s="85"/>
    </row>
    <row r="819" ht="49.5" customHeight="1">
      <c r="A819" s="29"/>
      <c r="B819" s="38" t="s">
        <v>2143</v>
      </c>
      <c r="C819" s="39" t="s">
        <v>2160</v>
      </c>
      <c r="D819" s="40" t="s">
        <v>2161</v>
      </c>
      <c r="E819" s="40"/>
      <c r="F819" s="40"/>
      <c r="G819" s="39" t="s">
        <v>2142</v>
      </c>
      <c r="H819" s="41" t="s">
        <v>170</v>
      </c>
      <c r="I819" s="48" t="s">
        <v>2162</v>
      </c>
      <c r="J819" s="42" t="str">
        <f>IFERROR(__xludf.DUMMYFUNCTION("GOOGLETRANSLATE(I819,""en"",""pl"")"),"Serwer SSM 2.x Core — nagrywanie 32-kanałowe HTW, ONVIF")</f>
        <v>Serwer SSM 2.x Core — nagrywanie 32-kanałowe HTW, ONVIF</v>
      </c>
      <c r="K819" s="43" t="s">
        <v>189</v>
      </c>
      <c r="L819" s="44">
        <v>3040.0</v>
      </c>
      <c r="M819" s="8"/>
      <c r="N819" s="45" t="s">
        <v>22</v>
      </c>
      <c r="O819" s="97"/>
      <c r="P819" s="36"/>
      <c r="Q819" s="35"/>
      <c r="R819" s="68"/>
      <c r="S819" s="68"/>
      <c r="T819" s="68"/>
      <c r="U819" s="35"/>
      <c r="V819" s="35"/>
      <c r="W819" s="35"/>
      <c r="X819" s="35"/>
      <c r="Y819" s="35"/>
      <c r="Z819" s="35"/>
      <c r="AA819" s="35"/>
      <c r="AB819" s="35"/>
      <c r="AC819" s="60"/>
      <c r="AD819" s="85"/>
      <c r="AE819" s="85"/>
      <c r="AF819" s="85"/>
      <c r="AG819" s="85"/>
      <c r="AH819" s="85"/>
      <c r="AI819" s="85"/>
      <c r="AJ819" s="85"/>
      <c r="AK819" s="85"/>
      <c r="AL819" s="85"/>
      <c r="AM819" s="85"/>
      <c r="AN819" s="85"/>
      <c r="AO819" s="85"/>
      <c r="AP819" s="85"/>
    </row>
    <row r="820" ht="49.5" customHeight="1">
      <c r="A820" s="29"/>
      <c r="B820" s="38" t="s">
        <v>2143</v>
      </c>
      <c r="C820" s="39" t="s">
        <v>2163</v>
      </c>
      <c r="D820" s="40" t="s">
        <v>2164</v>
      </c>
      <c r="E820" s="40"/>
      <c r="F820" s="40"/>
      <c r="G820" s="39" t="s">
        <v>2142</v>
      </c>
      <c r="H820" s="41" t="s">
        <v>170</v>
      </c>
      <c r="I820" s="48" t="s">
        <v>2165</v>
      </c>
      <c r="J820" s="42" t="str">
        <f>IFERROR(__xludf.DUMMYFUNCTION("GOOGLETRANSLATE(I820,""en"",""pl"")"),"Serwer SSM 2.x Core — nagrywanie 64-kanałowe HTW, ONVIF")</f>
        <v>Serwer SSM 2.x Core — nagrywanie 64-kanałowe HTW, ONVIF</v>
      </c>
      <c r="K820" s="43" t="s">
        <v>189</v>
      </c>
      <c r="L820" s="44">
        <v>6080.0</v>
      </c>
      <c r="M820" s="8"/>
      <c r="N820" s="45" t="s">
        <v>22</v>
      </c>
      <c r="O820" s="97"/>
      <c r="P820" s="36"/>
      <c r="Q820" s="35"/>
      <c r="R820" s="68"/>
      <c r="S820" s="68"/>
      <c r="T820" s="68"/>
      <c r="U820" s="35"/>
      <c r="V820" s="35"/>
      <c r="W820" s="35"/>
      <c r="X820" s="35"/>
      <c r="Y820" s="35"/>
      <c r="Z820" s="35"/>
      <c r="AA820" s="35"/>
      <c r="AB820" s="35"/>
      <c r="AC820" s="60"/>
      <c r="AD820" s="85"/>
      <c r="AE820" s="85"/>
      <c r="AF820" s="85"/>
      <c r="AG820" s="85"/>
      <c r="AH820" s="85"/>
      <c r="AI820" s="85"/>
      <c r="AJ820" s="85"/>
      <c r="AK820" s="85"/>
      <c r="AL820" s="85"/>
      <c r="AM820" s="85"/>
      <c r="AN820" s="85"/>
      <c r="AO820" s="85"/>
      <c r="AP820" s="85"/>
    </row>
    <row r="821" ht="49.5" customHeight="1">
      <c r="A821" s="29"/>
      <c r="B821" s="38" t="s">
        <v>2143</v>
      </c>
      <c r="C821" s="39" t="s">
        <v>2166</v>
      </c>
      <c r="D821" s="40" t="s">
        <v>2167</v>
      </c>
      <c r="E821" s="40"/>
      <c r="F821" s="40"/>
      <c r="G821" s="39" t="s">
        <v>2142</v>
      </c>
      <c r="H821" s="41" t="s">
        <v>2168</v>
      </c>
      <c r="I821" s="48" t="s">
        <v>2169</v>
      </c>
      <c r="J821" s="42" t="str">
        <f>IFERROR(__xludf.DUMMYFUNCTION("GOOGLETRANSLATE(I821,""en"",""pl"")"),"SSM 2.x Core Server - 128CH HTW, licencja nagrywania ONVIF")</f>
        <v>SSM 2.x Core Server - 128CH HTW, licencja nagrywania ONVIF</v>
      </c>
      <c r="K821" s="43" t="s">
        <v>189</v>
      </c>
      <c r="L821" s="44">
        <v>9120.0</v>
      </c>
      <c r="M821" s="8"/>
      <c r="N821" s="45" t="s">
        <v>22</v>
      </c>
      <c r="O821" s="97"/>
      <c r="P821" s="36"/>
      <c r="Q821" s="35"/>
      <c r="R821" s="68"/>
      <c r="S821" s="68"/>
      <c r="T821" s="68"/>
      <c r="U821" s="35"/>
      <c r="V821" s="35"/>
      <c r="W821" s="35"/>
      <c r="X821" s="35"/>
      <c r="Y821" s="35"/>
      <c r="Z821" s="35"/>
      <c r="AA821" s="35"/>
      <c r="AB821" s="35"/>
      <c r="AC821" s="60"/>
      <c r="AD821" s="85"/>
      <c r="AE821" s="85"/>
      <c r="AF821" s="85"/>
      <c r="AG821" s="85"/>
      <c r="AH821" s="85"/>
      <c r="AI821" s="85"/>
      <c r="AJ821" s="85"/>
      <c r="AK821" s="85"/>
      <c r="AL821" s="85"/>
      <c r="AM821" s="85"/>
      <c r="AN821" s="85"/>
      <c r="AO821" s="85"/>
      <c r="AP821" s="85"/>
    </row>
    <row r="822" ht="49.5" customHeight="1">
      <c r="A822" s="29"/>
      <c r="B822" s="38" t="s">
        <v>2143</v>
      </c>
      <c r="C822" s="39" t="s">
        <v>2170</v>
      </c>
      <c r="D822" s="40" t="s">
        <v>2171</v>
      </c>
      <c r="E822" s="40"/>
      <c r="F822" s="40"/>
      <c r="G822" s="39" t="s">
        <v>2142</v>
      </c>
      <c r="H822" s="41" t="s">
        <v>170</v>
      </c>
      <c r="I822" s="48" t="s">
        <v>2171</v>
      </c>
      <c r="J822" s="42" t="str">
        <f>IFERROR(__xludf.DUMMYFUNCTION("GOOGLETRANSLATE(I822,""en"",""pl"")"),"Licencja VLTS")</f>
        <v>Licencja VLTS</v>
      </c>
      <c r="K822" s="43" t="s">
        <v>189</v>
      </c>
      <c r="L822" s="44">
        <v>1200.0</v>
      </c>
      <c r="M822" s="8"/>
      <c r="N822" s="45" t="s">
        <v>22</v>
      </c>
      <c r="O822" s="97"/>
      <c r="P822" s="36"/>
      <c r="Q822" s="35"/>
      <c r="R822" s="68"/>
      <c r="S822" s="68"/>
      <c r="T822" s="68"/>
      <c r="U822" s="35"/>
      <c r="V822" s="35"/>
      <c r="W822" s="35"/>
      <c r="X822" s="35"/>
      <c r="Y822" s="35"/>
      <c r="Z822" s="35"/>
      <c r="AA822" s="35"/>
      <c r="AB822" s="35"/>
      <c r="AC822" s="60"/>
      <c r="AD822" s="85"/>
      <c r="AE822" s="85"/>
      <c r="AF822" s="85"/>
      <c r="AG822" s="85"/>
      <c r="AH822" s="85"/>
      <c r="AI822" s="85"/>
      <c r="AJ822" s="85"/>
      <c r="AK822" s="85"/>
      <c r="AL822" s="85"/>
      <c r="AM822" s="85"/>
      <c r="AN822" s="85"/>
      <c r="AO822" s="85"/>
      <c r="AP822" s="85"/>
    </row>
    <row r="823" ht="49.5" customHeight="1">
      <c r="A823" s="29"/>
      <c r="B823" s="38" t="s">
        <v>2143</v>
      </c>
      <c r="C823" s="39" t="s">
        <v>2172</v>
      </c>
      <c r="D823" s="40" t="s">
        <v>2173</v>
      </c>
      <c r="E823" s="40"/>
      <c r="F823" s="40"/>
      <c r="G823" s="39" t="s">
        <v>2142</v>
      </c>
      <c r="H823" s="41" t="s">
        <v>170</v>
      </c>
      <c r="I823" s="48" t="s">
        <v>2174</v>
      </c>
      <c r="J823" s="42" t="str">
        <f>IFERROR(__xludf.DUMMYFUNCTION("GOOGLETRANSLATE(I823,""en"",""pl"")"),"Dekoder wirtualnej macierzy SSM 2.x")</f>
        <v>Dekoder wirtualnej macierzy SSM 2.x</v>
      </c>
      <c r="K823" s="43" t="s">
        <v>189</v>
      </c>
      <c r="L823" s="44">
        <v>538.0</v>
      </c>
      <c r="M823" s="8"/>
      <c r="N823" s="45" t="s">
        <v>22</v>
      </c>
      <c r="O823" s="97"/>
      <c r="P823" s="36"/>
      <c r="Q823" s="35"/>
      <c r="R823" s="68"/>
      <c r="S823" s="68"/>
      <c r="T823" s="68"/>
      <c r="U823" s="35"/>
      <c r="V823" s="35"/>
      <c r="W823" s="35"/>
      <c r="X823" s="35"/>
      <c r="Y823" s="35"/>
      <c r="Z823" s="35"/>
      <c r="AA823" s="35"/>
      <c r="AB823" s="35"/>
      <c r="AC823" s="60"/>
      <c r="AD823" s="85"/>
      <c r="AE823" s="85"/>
      <c r="AF823" s="85"/>
      <c r="AG823" s="85"/>
      <c r="AH823" s="85"/>
      <c r="AI823" s="85"/>
      <c r="AJ823" s="85"/>
      <c r="AK823" s="85"/>
      <c r="AL823" s="85"/>
      <c r="AM823" s="85"/>
      <c r="AN823" s="85"/>
      <c r="AO823" s="85"/>
      <c r="AP823" s="85"/>
    </row>
    <row r="824" ht="49.5" customHeight="1">
      <c r="A824" s="29"/>
      <c r="B824" s="38" t="s">
        <v>2143</v>
      </c>
      <c r="C824" s="39" t="s">
        <v>2175</v>
      </c>
      <c r="D824" s="40" t="s">
        <v>2176</v>
      </c>
      <c r="E824" s="40"/>
      <c r="F824" s="40"/>
      <c r="G824" s="39" t="s">
        <v>2142</v>
      </c>
      <c r="H824" s="41" t="s">
        <v>170</v>
      </c>
      <c r="I824" s="48" t="s">
        <v>2177</v>
      </c>
      <c r="J824" s="42" t="str">
        <f>IFERROR(__xludf.DUMMYFUNCTION("GOOGLETRANSLATE(I824,""en"",""pl"")"),"Serwer transakcji SSM 2.x")</f>
        <v>Serwer transakcji SSM 2.x</v>
      </c>
      <c r="K824" s="43" t="s">
        <v>189</v>
      </c>
      <c r="L824" s="44">
        <v>3040.0</v>
      </c>
      <c r="M824" s="8"/>
      <c r="N824" s="45" t="s">
        <v>22</v>
      </c>
      <c r="O824" s="97"/>
      <c r="P824" s="36"/>
      <c r="Q824" s="35"/>
      <c r="R824" s="68"/>
      <c r="S824" s="68"/>
      <c r="T824" s="68"/>
      <c r="U824" s="35"/>
      <c r="V824" s="35"/>
      <c r="W824" s="35"/>
      <c r="X824" s="35"/>
      <c r="Y824" s="35"/>
      <c r="Z824" s="35"/>
      <c r="AA824" s="35"/>
      <c r="AB824" s="35"/>
      <c r="AC824" s="60"/>
      <c r="AD824" s="85"/>
      <c r="AE824" s="85"/>
      <c r="AF824" s="85"/>
      <c r="AG824" s="85"/>
      <c r="AH824" s="85"/>
      <c r="AI824" s="85"/>
      <c r="AJ824" s="85"/>
      <c r="AK824" s="85"/>
      <c r="AL824" s="85"/>
      <c r="AM824" s="85"/>
      <c r="AN824" s="85"/>
      <c r="AO824" s="85"/>
      <c r="AP824" s="85"/>
    </row>
    <row r="825" ht="49.5" customHeight="1">
      <c r="A825" s="29"/>
      <c r="B825" s="38" t="s">
        <v>2143</v>
      </c>
      <c r="C825" s="39" t="s">
        <v>2178</v>
      </c>
      <c r="D825" s="40" t="s">
        <v>2179</v>
      </c>
      <c r="E825" s="40"/>
      <c r="F825" s="40"/>
      <c r="G825" s="39" t="s">
        <v>2142</v>
      </c>
      <c r="H825" s="41" t="s">
        <v>170</v>
      </c>
      <c r="I825" s="48" t="s">
        <v>2180</v>
      </c>
      <c r="J825" s="42" t="str">
        <f>IFERROR(__xludf.DUMMYFUNCTION("GOOGLETRANSLATE(I825,""en"",""pl"")"),"Moduł ANPR SSM 2.x – 1 kanał ANPR w SSM. Wymaga kanałów IP + serwera nagrywającego.")</f>
        <v>Moduł ANPR SSM 2.x – 1 kanał ANPR w SSM. Wymaga kanałów IP + serwera nagrywającego.</v>
      </c>
      <c r="K825" s="43" t="s">
        <v>189</v>
      </c>
      <c r="L825" s="44">
        <v>440.0</v>
      </c>
      <c r="M825" s="8"/>
      <c r="N825" s="45" t="s">
        <v>22</v>
      </c>
      <c r="O825" s="97"/>
      <c r="P825" s="36"/>
      <c r="Q825" s="35"/>
      <c r="R825" s="68"/>
      <c r="S825" s="68"/>
      <c r="T825" s="68"/>
      <c r="U825" s="35"/>
      <c r="V825" s="35"/>
      <c r="W825" s="35"/>
      <c r="X825" s="35"/>
      <c r="Y825" s="35"/>
      <c r="Z825" s="35"/>
      <c r="AA825" s="35"/>
      <c r="AB825" s="35"/>
      <c r="AC825" s="60"/>
      <c r="AD825" s="85"/>
      <c r="AE825" s="85"/>
      <c r="AF825" s="85"/>
      <c r="AG825" s="85"/>
      <c r="AH825" s="85"/>
      <c r="AI825" s="85"/>
      <c r="AJ825" s="85"/>
      <c r="AK825" s="85"/>
      <c r="AL825" s="85"/>
      <c r="AM825" s="85"/>
      <c r="AN825" s="85"/>
      <c r="AO825" s="85"/>
      <c r="AP825" s="85"/>
    </row>
    <row r="826" ht="49.5" customHeight="1">
      <c r="A826" s="29"/>
      <c r="B826" s="38" t="s">
        <v>2143</v>
      </c>
      <c r="C826" s="39" t="s">
        <v>2181</v>
      </c>
      <c r="D826" s="40" t="s">
        <v>2179</v>
      </c>
      <c r="E826" s="40"/>
      <c r="F826" s="40"/>
      <c r="G826" s="39" t="s">
        <v>2142</v>
      </c>
      <c r="H826" s="41" t="s">
        <v>170</v>
      </c>
      <c r="I826" s="48" t="s">
        <v>2182</v>
      </c>
      <c r="J826" s="42" t="str">
        <f>IFERROR(__xludf.DUMMYFUNCTION("GOOGLETRANSLATE(I826,""en"",""pl"")"),"Moduł ANPR SSM 2.x – 2 kanały ANPR w SSM. Wymaga kanałów IP + serwera nagrywającego.")</f>
        <v>Moduł ANPR SSM 2.x – 2 kanały ANPR w SSM. Wymaga kanałów IP + serwera nagrywającego.</v>
      </c>
      <c r="K826" s="43" t="s">
        <v>189</v>
      </c>
      <c r="L826" s="44">
        <v>870.0</v>
      </c>
      <c r="M826" s="8"/>
      <c r="N826" s="45" t="s">
        <v>22</v>
      </c>
      <c r="O826" s="97"/>
      <c r="P826" s="36"/>
      <c r="Q826" s="35"/>
      <c r="R826" s="68"/>
      <c r="S826" s="68"/>
      <c r="T826" s="68"/>
      <c r="U826" s="35"/>
      <c r="V826" s="35"/>
      <c r="W826" s="35"/>
      <c r="X826" s="35"/>
      <c r="Y826" s="35"/>
      <c r="Z826" s="35"/>
      <c r="AA826" s="35"/>
      <c r="AB826" s="35"/>
      <c r="AC826" s="60"/>
      <c r="AD826" s="85"/>
      <c r="AE826" s="85"/>
      <c r="AF826" s="85"/>
      <c r="AG826" s="85"/>
      <c r="AH826" s="85"/>
      <c r="AI826" s="85"/>
      <c r="AJ826" s="85"/>
      <c r="AK826" s="85"/>
      <c r="AL826" s="85"/>
      <c r="AM826" s="85"/>
      <c r="AN826" s="85"/>
      <c r="AO826" s="85"/>
      <c r="AP826" s="85"/>
    </row>
    <row r="827" ht="49.5" customHeight="1">
      <c r="A827" s="29"/>
      <c r="B827" s="38" t="s">
        <v>2143</v>
      </c>
      <c r="C827" s="39" t="s">
        <v>2183</v>
      </c>
      <c r="D827" s="40" t="s">
        <v>2179</v>
      </c>
      <c r="E827" s="40"/>
      <c r="F827" s="40"/>
      <c r="G827" s="39" t="s">
        <v>2142</v>
      </c>
      <c r="H827" s="41" t="s">
        <v>170</v>
      </c>
      <c r="I827" s="48" t="s">
        <v>2184</v>
      </c>
      <c r="J827" s="42" t="str">
        <f>IFERROR(__xludf.DUMMYFUNCTION("GOOGLETRANSLATE(I827,""en"",""pl"")"),"Moduł SSM 2.x ANPR – 3 kanały ANPR w SSM. Wymaga kanałów IP + serwera nagrywającego.")</f>
        <v>Moduł SSM 2.x ANPR – 3 kanały ANPR w SSM. Wymaga kanałów IP + serwera nagrywającego.</v>
      </c>
      <c r="K827" s="43" t="s">
        <v>189</v>
      </c>
      <c r="L827" s="44">
        <v>1300.0</v>
      </c>
      <c r="M827" s="8"/>
      <c r="N827" s="45" t="s">
        <v>22</v>
      </c>
      <c r="O827" s="97"/>
      <c r="P827" s="36"/>
      <c r="Q827" s="35"/>
      <c r="R827" s="68"/>
      <c r="S827" s="68"/>
      <c r="T827" s="68"/>
      <c r="U827" s="35"/>
      <c r="V827" s="35"/>
      <c r="W827" s="35"/>
      <c r="X827" s="35"/>
      <c r="Y827" s="35"/>
      <c r="Z827" s="35"/>
      <c r="AA827" s="35"/>
      <c r="AB827" s="35"/>
      <c r="AC827" s="60"/>
      <c r="AD827" s="85"/>
      <c r="AE827" s="85"/>
      <c r="AF827" s="85"/>
      <c r="AG827" s="85"/>
      <c r="AH827" s="85"/>
      <c r="AI827" s="85"/>
      <c r="AJ827" s="85"/>
      <c r="AK827" s="85"/>
      <c r="AL827" s="85"/>
      <c r="AM827" s="85"/>
      <c r="AN827" s="85"/>
      <c r="AO827" s="85"/>
      <c r="AP827" s="85"/>
    </row>
    <row r="828" ht="49.5" customHeight="1">
      <c r="A828" s="29"/>
      <c r="B828" s="38" t="s">
        <v>2143</v>
      </c>
      <c r="C828" s="39" t="s">
        <v>2185</v>
      </c>
      <c r="D828" s="40" t="s">
        <v>2179</v>
      </c>
      <c r="E828" s="40"/>
      <c r="F828" s="40"/>
      <c r="G828" s="39" t="s">
        <v>2142</v>
      </c>
      <c r="H828" s="41" t="s">
        <v>170</v>
      </c>
      <c r="I828" s="48" t="s">
        <v>2186</v>
      </c>
      <c r="J828" s="42" t="str">
        <f>IFERROR(__xludf.DUMMYFUNCTION("GOOGLETRANSLATE(I828,""en"",""pl"")"),"Moduł SSM 2.x ANPR – 4 kanały ANPR w SSM. Wymaga kanałów IP + serwera nagrywającego.")</f>
        <v>Moduł SSM 2.x ANPR – 4 kanały ANPR w SSM. Wymaga kanałów IP + serwera nagrywającego.</v>
      </c>
      <c r="K828" s="43" t="s">
        <v>189</v>
      </c>
      <c r="L828" s="44">
        <v>1740.0</v>
      </c>
      <c r="M828" s="8"/>
      <c r="N828" s="45" t="s">
        <v>22</v>
      </c>
      <c r="O828" s="97"/>
      <c r="P828" s="36"/>
      <c r="Q828" s="35"/>
      <c r="R828" s="68"/>
      <c r="S828" s="68"/>
      <c r="T828" s="68"/>
      <c r="U828" s="35"/>
      <c r="V828" s="35"/>
      <c r="W828" s="35"/>
      <c r="X828" s="35"/>
      <c r="Y828" s="35"/>
      <c r="Z828" s="35"/>
      <c r="AA828" s="35"/>
      <c r="AB828" s="35"/>
      <c r="AC828" s="60"/>
      <c r="AD828" s="85"/>
      <c r="AE828" s="85"/>
      <c r="AF828" s="85"/>
      <c r="AG828" s="85"/>
      <c r="AH828" s="85"/>
      <c r="AI828" s="85"/>
      <c r="AJ828" s="85"/>
      <c r="AK828" s="85"/>
      <c r="AL828" s="85"/>
      <c r="AM828" s="85"/>
      <c r="AN828" s="85"/>
      <c r="AO828" s="85"/>
      <c r="AP828" s="85"/>
    </row>
    <row r="829" ht="49.5" customHeight="1">
      <c r="A829" s="29"/>
      <c r="B829" s="38" t="s">
        <v>2143</v>
      </c>
      <c r="C829" s="39" t="s">
        <v>2187</v>
      </c>
      <c r="D829" s="40" t="s">
        <v>2179</v>
      </c>
      <c r="E829" s="40"/>
      <c r="F829" s="40"/>
      <c r="G829" s="39" t="s">
        <v>2142</v>
      </c>
      <c r="H829" s="41" t="s">
        <v>170</v>
      </c>
      <c r="I829" s="48" t="s">
        <v>2188</v>
      </c>
      <c r="J829" s="42" t="str">
        <f>IFERROR(__xludf.DUMMYFUNCTION("GOOGLETRANSLATE(I829,""en"",""pl"")"),"Moduł SSM 2.x ANPR – 5 kanałów + ANPR w SSM. Wymaga kanałów IP + serwera rejestrującego.")</f>
        <v>Moduł SSM 2.x ANPR – 5 kanałów + ANPR w SSM. Wymaga kanałów IP + serwera rejestrującego.</v>
      </c>
      <c r="K829" s="43" t="s">
        <v>189</v>
      </c>
      <c r="L829" s="44">
        <v>4340.0</v>
      </c>
      <c r="M829" s="8"/>
      <c r="N829" s="45" t="s">
        <v>22</v>
      </c>
      <c r="O829" s="97"/>
      <c r="P829" s="36"/>
      <c r="Q829" s="35"/>
      <c r="R829" s="68"/>
      <c r="S829" s="68"/>
      <c r="T829" s="68"/>
      <c r="U829" s="35"/>
      <c r="V829" s="35"/>
      <c r="W829" s="35"/>
      <c r="X829" s="35"/>
      <c r="Y829" s="35"/>
      <c r="Z829" s="35"/>
      <c r="AA829" s="35"/>
      <c r="AB829" s="35"/>
      <c r="AC829" s="60"/>
      <c r="AD829" s="85"/>
      <c r="AE829" s="85"/>
      <c r="AF829" s="85"/>
      <c r="AG829" s="85"/>
      <c r="AH829" s="85"/>
      <c r="AI829" s="85"/>
      <c r="AJ829" s="85"/>
      <c r="AK829" s="85"/>
      <c r="AL829" s="85"/>
      <c r="AM829" s="85"/>
      <c r="AN829" s="85"/>
      <c r="AO829" s="85"/>
      <c r="AP829" s="85"/>
    </row>
    <row r="830" ht="30.0" customHeight="1">
      <c r="A830" s="1"/>
      <c r="B830" s="86" t="s">
        <v>2189</v>
      </c>
      <c r="C830" s="87"/>
      <c r="D830" s="87"/>
      <c r="E830" s="87"/>
      <c r="F830" s="87"/>
      <c r="G830" s="87"/>
      <c r="H830" s="87"/>
      <c r="I830" s="88"/>
      <c r="J830" s="42" t="str">
        <f>IFERROR(__xludf.DUMMYFUNCTION("GOOGLETRANSLATE(I830,""en"",""pl"")"),"#VALUE!")</f>
        <v>#VALUE!</v>
      </c>
      <c r="K830" s="88"/>
      <c r="L830" s="89"/>
      <c r="M830" s="76"/>
      <c r="N830" s="90"/>
      <c r="O830" s="9"/>
      <c r="P830" s="11"/>
      <c r="Q830" s="9"/>
      <c r="R830" s="59"/>
      <c r="S830" s="59"/>
      <c r="T830" s="59"/>
      <c r="U830" s="9"/>
      <c r="V830" s="9"/>
      <c r="W830" s="9"/>
      <c r="X830" s="9"/>
      <c r="Y830" s="9"/>
      <c r="Z830" s="9"/>
      <c r="AA830" s="9"/>
      <c r="AB830" s="9"/>
      <c r="AC830" s="60"/>
      <c r="AD830" s="61"/>
      <c r="AE830" s="61"/>
      <c r="AF830" s="61"/>
      <c r="AG830" s="61"/>
      <c r="AH830" s="61"/>
      <c r="AI830" s="61"/>
      <c r="AJ830" s="61"/>
      <c r="AK830" s="61"/>
      <c r="AL830" s="61"/>
      <c r="AM830" s="61"/>
      <c r="AN830" s="61"/>
      <c r="AO830" s="61"/>
      <c r="AP830" s="61"/>
    </row>
    <row r="831" ht="30.0" customHeight="1">
      <c r="A831" s="1"/>
      <c r="B831" s="143" t="s">
        <v>2142</v>
      </c>
      <c r="C831" s="144"/>
      <c r="D831" s="144"/>
      <c r="E831" s="144"/>
      <c r="F831" s="144"/>
      <c r="G831" s="144"/>
      <c r="H831" s="144"/>
      <c r="I831" s="144"/>
      <c r="J831" s="42" t="str">
        <f>IFERROR(__xludf.DUMMYFUNCTION("GOOGLETRANSLATE(I831,""en"",""pl"")"),"#VALUE!")</f>
        <v>#VALUE!</v>
      </c>
      <c r="K831" s="144"/>
      <c r="L831" s="114"/>
      <c r="M831" s="145"/>
      <c r="N831" s="96"/>
      <c r="O831" s="146"/>
      <c r="P831" s="11"/>
      <c r="Q831" s="9"/>
      <c r="R831" s="59"/>
      <c r="S831" s="59"/>
      <c r="T831" s="59"/>
      <c r="U831" s="9"/>
      <c r="V831" s="9"/>
      <c r="W831" s="9"/>
      <c r="X831" s="9"/>
      <c r="Y831" s="9"/>
      <c r="Z831" s="9"/>
      <c r="AA831" s="9"/>
      <c r="AB831" s="9"/>
      <c r="AC831" s="60"/>
      <c r="AD831" s="61"/>
      <c r="AE831" s="61"/>
      <c r="AF831" s="61"/>
      <c r="AG831" s="61"/>
      <c r="AH831" s="61"/>
      <c r="AI831" s="61"/>
      <c r="AJ831" s="61"/>
      <c r="AK831" s="61"/>
      <c r="AL831" s="61"/>
      <c r="AM831" s="61"/>
      <c r="AN831" s="61"/>
      <c r="AO831" s="61"/>
      <c r="AP831" s="61"/>
    </row>
    <row r="832" ht="46.5" customHeight="1">
      <c r="A832" s="1"/>
      <c r="B832" s="116" t="s">
        <v>2190</v>
      </c>
      <c r="C832" s="117" t="s">
        <v>2191</v>
      </c>
      <c r="D832" s="118" t="s">
        <v>2192</v>
      </c>
      <c r="E832" s="38"/>
      <c r="F832" s="38"/>
      <c r="G832" s="38"/>
      <c r="H832" s="147" t="s">
        <v>79</v>
      </c>
      <c r="I832" s="121" t="s">
        <v>2193</v>
      </c>
      <c r="J832" s="42" t="str">
        <f>IFERROR(__xludf.DUMMYFUNCTION("GOOGLETRANSLATE(I832,""en"",""pl"")"),"Licencja WAVE Professional. Umożliwia jedno (1) nagrywanie strumienia IP, obejmuje dożywotnią aktualizację oprogramowania. Brak kosztów rocznych i konserwacyjnych. (Maksymalna liczba uzasadnionych dezaktywacji: 3 za pośrednictwem wsparcia technicznego)")</f>
        <v>Licencja WAVE Professional. Umożliwia jedno (1) nagrywanie strumienia IP, obejmuje dożywotnią aktualizację oprogramowania. Brak kosztów rocznych i konserwacyjnych. (Maksymalna liczba uzasadnionych dezaktywacji: 3 za pośrednictwem wsparcia technicznego)</v>
      </c>
      <c r="K832" s="43" t="s">
        <v>189</v>
      </c>
      <c r="L832" s="44">
        <v>133.0</v>
      </c>
      <c r="M832" s="8"/>
      <c r="N832" s="45" t="s">
        <v>22</v>
      </c>
      <c r="O832" s="97"/>
      <c r="P832" s="9"/>
      <c r="Q832" s="9"/>
      <c r="R832" s="59"/>
      <c r="S832" s="59"/>
      <c r="T832" s="59"/>
      <c r="U832" s="9"/>
      <c r="V832" s="9"/>
      <c r="W832" s="9"/>
      <c r="X832" s="9"/>
      <c r="Y832" s="9"/>
      <c r="Z832" s="9"/>
      <c r="AA832" s="9"/>
      <c r="AB832" s="9"/>
      <c r="AC832" s="101"/>
      <c r="AD832" s="75"/>
      <c r="AE832" s="75"/>
      <c r="AF832" s="75"/>
      <c r="AG832" s="75"/>
      <c r="AH832" s="75"/>
      <c r="AI832" s="75"/>
      <c r="AJ832" s="75"/>
      <c r="AK832" s="75"/>
      <c r="AL832" s="75"/>
      <c r="AM832" s="75"/>
      <c r="AN832" s="75"/>
      <c r="AO832" s="75"/>
      <c r="AP832" s="75"/>
    </row>
    <row r="833" ht="46.5" customHeight="1">
      <c r="A833" s="1"/>
      <c r="B833" s="38" t="s">
        <v>2190</v>
      </c>
      <c r="C833" s="39" t="s">
        <v>2194</v>
      </c>
      <c r="D833" s="40" t="s">
        <v>2195</v>
      </c>
      <c r="E833" s="38"/>
      <c r="F833" s="38"/>
      <c r="G833" s="38"/>
      <c r="H833" s="105" t="s">
        <v>79</v>
      </c>
      <c r="I833" s="48" t="s">
        <v>2196</v>
      </c>
      <c r="J833" s="42" t="str">
        <f>IFERROR(__xludf.DUMMYFUNCTION("GOOGLETRANSLATE(I833,""en"",""pl"")"),"Licencja WAVE Professional. Umożliwia nagrywanie czterech (4) strumieni IP, obejmuje dożywotnią aktualizację oprogramowania. Brak kosztów rocznych i konserwacyjnych. (Maksymalna liczba uzasadnionych dezaktywacji: 3 razy za pośrednictwem pomocy technicznej"&amp;")")</f>
        <v>Licencja WAVE Professional. Umożliwia nagrywanie czterech (4) strumieni IP, obejmuje dożywotnią aktualizację oprogramowania. Brak kosztów rocznych i konserwacyjnych. (Maksymalna liczba uzasadnionych dezaktywacji: 3 razy za pośrednictwem pomocy technicznej)</v>
      </c>
      <c r="K833" s="43" t="s">
        <v>189</v>
      </c>
      <c r="L833" s="44">
        <v>532.0</v>
      </c>
      <c r="M833" s="8"/>
      <c r="N833" s="45" t="s">
        <v>22</v>
      </c>
      <c r="O833" s="97"/>
      <c r="P833" s="9"/>
      <c r="Q833" s="9"/>
      <c r="R833" s="59"/>
      <c r="S833" s="59"/>
      <c r="T833" s="59"/>
      <c r="U833" s="9"/>
      <c r="V833" s="9"/>
      <c r="W833" s="9"/>
      <c r="X833" s="9"/>
      <c r="Y833" s="9"/>
      <c r="Z833" s="9"/>
      <c r="AA833" s="9"/>
      <c r="AB833" s="9"/>
      <c r="AC833" s="101"/>
      <c r="AD833" s="75"/>
      <c r="AE833" s="75"/>
      <c r="AF833" s="75"/>
      <c r="AG833" s="75"/>
      <c r="AH833" s="75"/>
      <c r="AI833" s="75"/>
      <c r="AJ833" s="75"/>
      <c r="AK833" s="75"/>
      <c r="AL833" s="75"/>
      <c r="AM833" s="75"/>
      <c r="AN833" s="75"/>
      <c r="AO833" s="75"/>
      <c r="AP833" s="75"/>
    </row>
    <row r="834" ht="46.5" customHeight="1">
      <c r="A834" s="1"/>
      <c r="B834" s="38" t="s">
        <v>2190</v>
      </c>
      <c r="C834" s="39" t="s">
        <v>2197</v>
      </c>
      <c r="D834" s="40" t="s">
        <v>2198</v>
      </c>
      <c r="E834" s="38"/>
      <c r="F834" s="38"/>
      <c r="G834" s="38"/>
      <c r="H834" s="105" t="s">
        <v>79</v>
      </c>
      <c r="I834" s="48" t="s">
        <v>2199</v>
      </c>
      <c r="J834" s="42" t="str">
        <f>IFERROR(__xludf.DUMMYFUNCTION("GOOGLETRANSLATE(I834,""en"",""pl"")"),"Licencja WAVE Professional. Umożliwia nagrywanie ośmiu (8) strumieni IP, obejmuje dożywotnią aktualizację oprogramowania. Brak kosztów rocznych i konserwacyjnych. (Maksymalna liczba uzasadnionych dezaktywacji: 3 razy, za pośrednictwem pomocy technicznej)")</f>
        <v>Licencja WAVE Professional. Umożliwia nagrywanie ośmiu (8) strumieni IP, obejmuje dożywotnią aktualizację oprogramowania. Brak kosztów rocznych i konserwacyjnych. (Maksymalna liczba uzasadnionych dezaktywacji: 3 razy, za pośrednictwem pomocy technicznej)</v>
      </c>
      <c r="K834" s="43" t="s">
        <v>189</v>
      </c>
      <c r="L834" s="44">
        <v>1064.0</v>
      </c>
      <c r="M834" s="8"/>
      <c r="N834" s="45" t="s">
        <v>22</v>
      </c>
      <c r="O834" s="97"/>
      <c r="P834" s="9"/>
      <c r="Q834" s="9"/>
      <c r="R834" s="59"/>
      <c r="S834" s="59"/>
      <c r="T834" s="59"/>
      <c r="U834" s="9"/>
      <c r="V834" s="9"/>
      <c r="W834" s="9"/>
      <c r="X834" s="9"/>
      <c r="Y834" s="9"/>
      <c r="Z834" s="9"/>
      <c r="AA834" s="9"/>
      <c r="AB834" s="9"/>
      <c r="AC834" s="101"/>
      <c r="AD834" s="75"/>
      <c r="AE834" s="75"/>
      <c r="AF834" s="75"/>
      <c r="AG834" s="75"/>
      <c r="AH834" s="75"/>
      <c r="AI834" s="75"/>
      <c r="AJ834" s="75"/>
      <c r="AK834" s="75"/>
      <c r="AL834" s="75"/>
      <c r="AM834" s="75"/>
      <c r="AN834" s="75"/>
      <c r="AO834" s="75"/>
      <c r="AP834" s="75"/>
    </row>
    <row r="835" ht="46.5" customHeight="1">
      <c r="A835" s="1"/>
      <c r="B835" s="38" t="s">
        <v>2190</v>
      </c>
      <c r="C835" s="39" t="s">
        <v>2200</v>
      </c>
      <c r="D835" s="40" t="s">
        <v>2201</v>
      </c>
      <c r="E835" s="38"/>
      <c r="F835" s="38"/>
      <c r="G835" s="38"/>
      <c r="H835" s="105" t="s">
        <v>79</v>
      </c>
      <c r="I835" s="48" t="s">
        <v>2202</v>
      </c>
      <c r="J835" s="42" t="str">
        <f>IFERROR(__xludf.DUMMYFUNCTION("GOOGLETRANSLATE(I835,""en"",""pl"")"),"Licencja WAVE Professional. Umożliwia nagrywanie szesnastu (16) strumieni IP, obejmuje dożywotnią aktualizację oprogramowania. Brak kosztów rocznych i konserwacyjnych. (Maksymalna liczba uzasadnionych dezaktywacji: 3 razy, za pośrednictwem pomocy technicz"&amp;"nej)")</f>
        <v>Licencja WAVE Professional. Umożliwia nagrywanie szesnastu (16) strumieni IP, obejmuje dożywotnią aktualizację oprogramowania. Brak kosztów rocznych i konserwacyjnych. (Maksymalna liczba uzasadnionych dezaktywacji: 3 razy, za pośrednictwem pomocy technicznej)</v>
      </c>
      <c r="K835" s="43" t="s">
        <v>189</v>
      </c>
      <c r="L835" s="44">
        <v>2128.0</v>
      </c>
      <c r="M835" s="8"/>
      <c r="N835" s="45" t="s">
        <v>22</v>
      </c>
      <c r="O835" s="97"/>
      <c r="P835" s="9"/>
      <c r="Q835" s="9"/>
      <c r="R835" s="59"/>
      <c r="S835" s="59"/>
      <c r="T835" s="59"/>
      <c r="U835" s="9"/>
      <c r="V835" s="9"/>
      <c r="W835" s="9"/>
      <c r="X835" s="9"/>
      <c r="Y835" s="9"/>
      <c r="Z835" s="9"/>
      <c r="AA835" s="9"/>
      <c r="AB835" s="9"/>
      <c r="AC835" s="101"/>
      <c r="AD835" s="75"/>
      <c r="AE835" s="75"/>
      <c r="AF835" s="75"/>
      <c r="AG835" s="75"/>
      <c r="AH835" s="75"/>
      <c r="AI835" s="75"/>
      <c r="AJ835" s="75"/>
      <c r="AK835" s="75"/>
      <c r="AL835" s="75"/>
      <c r="AM835" s="75"/>
      <c r="AN835" s="75"/>
      <c r="AO835" s="75"/>
      <c r="AP835" s="75"/>
    </row>
    <row r="836" ht="46.5" customHeight="1">
      <c r="A836" s="1"/>
      <c r="B836" s="38" t="s">
        <v>2190</v>
      </c>
      <c r="C836" s="39" t="s">
        <v>2203</v>
      </c>
      <c r="D836" s="40" t="s">
        <v>2204</v>
      </c>
      <c r="E836" s="38"/>
      <c r="F836" s="38"/>
      <c r="G836" s="38"/>
      <c r="H836" s="105" t="s">
        <v>79</v>
      </c>
      <c r="I836" s="48" t="s">
        <v>2205</v>
      </c>
      <c r="J836" s="42" t="str">
        <f>IFERROR(__xludf.DUMMYFUNCTION("GOOGLETRANSLATE(I836,""en"",""pl"")"),"Licencja WAVE Professional. Umożliwia nagrywanie strumieniowe dwudziestu czterech (24) kanałów IP, obejmuje dożywotnią aktualizację oprogramowania. Brak kosztów rocznych i konserwacyjnych. (Maksymalna liczba uzasadnionych dezaktywacji: 3 za pośrednictwem "&amp;"wsparcia technicznego)")</f>
        <v>Licencja WAVE Professional. Umożliwia nagrywanie strumieniowe dwudziestu czterech (24) kanałów IP, obejmuje dożywotnią aktualizację oprogramowania. Brak kosztów rocznych i konserwacyjnych. (Maksymalna liczba uzasadnionych dezaktywacji: 3 za pośrednictwem wsparcia technicznego)</v>
      </c>
      <c r="K836" s="43" t="s">
        <v>189</v>
      </c>
      <c r="L836" s="44">
        <v>3192.0</v>
      </c>
      <c r="M836" s="8"/>
      <c r="N836" s="45" t="s">
        <v>22</v>
      </c>
      <c r="O836" s="97"/>
      <c r="P836" s="9"/>
      <c r="Q836" s="9"/>
      <c r="R836" s="59"/>
      <c r="S836" s="59"/>
      <c r="T836" s="59"/>
      <c r="U836" s="9"/>
      <c r="V836" s="9"/>
      <c r="W836" s="9"/>
      <c r="X836" s="9"/>
      <c r="Y836" s="9"/>
      <c r="Z836" s="9"/>
      <c r="AA836" s="9"/>
      <c r="AB836" s="9"/>
      <c r="AC836" s="101"/>
      <c r="AD836" s="75"/>
      <c r="AE836" s="75"/>
      <c r="AF836" s="75"/>
      <c r="AG836" s="75"/>
      <c r="AH836" s="75"/>
      <c r="AI836" s="75"/>
      <c r="AJ836" s="75"/>
      <c r="AK836" s="75"/>
      <c r="AL836" s="75"/>
      <c r="AM836" s="75"/>
      <c r="AN836" s="75"/>
      <c r="AO836" s="75"/>
      <c r="AP836" s="75"/>
    </row>
    <row r="837" ht="46.5" customHeight="1">
      <c r="A837" s="1"/>
      <c r="B837" s="38" t="s">
        <v>2190</v>
      </c>
      <c r="C837" s="39" t="s">
        <v>2206</v>
      </c>
      <c r="D837" s="40" t="s">
        <v>2207</v>
      </c>
      <c r="E837" s="38"/>
      <c r="F837" s="38"/>
      <c r="G837" s="38"/>
      <c r="H837" s="105" t="s">
        <v>79</v>
      </c>
      <c r="I837" s="48" t="s">
        <v>2208</v>
      </c>
      <c r="J837" s="42" t="str">
        <f>IFERROR(__xludf.DUMMYFUNCTION("GOOGLETRANSLATE(I837,""en"",""pl"")"),"Licencja WAVE Professional. Umożliwia nagrywanie czterdziestu ośmiu (48) strumieni IP, obejmuje dożywotnią aktualizację oprogramowania. Brak kosztów rocznych i konserwacyjnych. (Maksymalna liczba uzasadnionych dezaktywacji: 3 za pośrednictwem wsparcia tec"&amp;"hnicznego)")</f>
        <v>Licencja WAVE Professional. Umożliwia nagrywanie czterdziestu ośmiu (48) strumieni IP, obejmuje dożywotnią aktualizację oprogramowania. Brak kosztów rocznych i konserwacyjnych. (Maksymalna liczba uzasadnionych dezaktywacji: 3 za pośrednictwem wsparcia technicznego)</v>
      </c>
      <c r="K837" s="43" t="s">
        <v>189</v>
      </c>
      <c r="L837" s="44">
        <v>6384.0</v>
      </c>
      <c r="M837" s="8"/>
      <c r="N837" s="45" t="s">
        <v>22</v>
      </c>
      <c r="O837" s="97"/>
      <c r="P837" s="9"/>
      <c r="Q837" s="9"/>
      <c r="R837" s="59"/>
      <c r="S837" s="59"/>
      <c r="T837" s="59"/>
      <c r="U837" s="9"/>
      <c r="V837" s="9"/>
      <c r="W837" s="9"/>
      <c r="X837" s="9"/>
      <c r="Y837" s="9"/>
      <c r="Z837" s="9"/>
      <c r="AA837" s="9"/>
      <c r="AB837" s="9"/>
      <c r="AC837" s="101"/>
      <c r="AD837" s="75"/>
      <c r="AE837" s="75"/>
      <c r="AF837" s="75"/>
      <c r="AG837" s="75"/>
      <c r="AH837" s="75"/>
      <c r="AI837" s="75"/>
      <c r="AJ837" s="75"/>
      <c r="AK837" s="75"/>
      <c r="AL837" s="75"/>
      <c r="AM837" s="75"/>
      <c r="AN837" s="75"/>
      <c r="AO837" s="75"/>
      <c r="AP837" s="75"/>
    </row>
    <row r="838" ht="46.5" customHeight="1">
      <c r="A838" s="1"/>
      <c r="B838" s="38" t="s">
        <v>2190</v>
      </c>
      <c r="C838" s="39" t="s">
        <v>2209</v>
      </c>
      <c r="D838" s="40" t="s">
        <v>2210</v>
      </c>
      <c r="E838" s="38"/>
      <c r="F838" s="38"/>
      <c r="G838" s="38"/>
      <c r="H838" s="105" t="s">
        <v>79</v>
      </c>
      <c r="I838" s="48" t="s">
        <v>2211</v>
      </c>
      <c r="J838" s="42" t="str">
        <f>IFERROR(__xludf.DUMMYFUNCTION("GOOGLETRANSLATE(I838,""en"",""pl"")"),"Licencja WAVE Video Wall. Umożliwia korzystanie z maksymalnie dwóch (2) monitorów, obejmuje dożywotnią aktualizację oprogramowania. Brak kosztów rocznych i konserwacyjnych. (Maksymalna liczba uzasadnionych dezaktywacji: 3 za pośrednictwem pomocy techniczn"&amp;"ej)")</f>
        <v>Licencja WAVE Video Wall. Umożliwia korzystanie z maksymalnie dwóch (2) monitorów, obejmuje dożywotnią aktualizację oprogramowania. Brak kosztów rocznych i konserwacyjnych. (Maksymalna liczba uzasadnionych dezaktywacji: 3 za pośrednictwem pomocy technicznej)</v>
      </c>
      <c r="K838" s="43" t="s">
        <v>189</v>
      </c>
      <c r="L838" s="44">
        <v>823.0</v>
      </c>
      <c r="M838" s="8"/>
      <c r="N838" s="45" t="s">
        <v>22</v>
      </c>
      <c r="O838" s="97"/>
      <c r="P838" s="9"/>
      <c r="Q838" s="9"/>
      <c r="R838" s="59"/>
      <c r="S838" s="59"/>
      <c r="T838" s="59"/>
      <c r="U838" s="9"/>
      <c r="V838" s="9"/>
      <c r="W838" s="9"/>
      <c r="X838" s="9"/>
      <c r="Y838" s="9"/>
      <c r="Z838" s="9"/>
      <c r="AA838" s="9"/>
      <c r="AB838" s="9"/>
      <c r="AC838" s="101"/>
      <c r="AD838" s="75"/>
      <c r="AE838" s="75"/>
      <c r="AF838" s="75"/>
      <c r="AG838" s="75"/>
      <c r="AH838" s="75"/>
      <c r="AI838" s="75"/>
      <c r="AJ838" s="75"/>
      <c r="AK838" s="75"/>
      <c r="AL838" s="75"/>
      <c r="AM838" s="75"/>
      <c r="AN838" s="75"/>
      <c r="AO838" s="75"/>
      <c r="AP838" s="75"/>
    </row>
    <row r="839" ht="46.5" customHeight="1">
      <c r="A839" s="1"/>
      <c r="B839" s="38" t="s">
        <v>2190</v>
      </c>
      <c r="C839" s="39" t="s">
        <v>2212</v>
      </c>
      <c r="D839" s="40" t="s">
        <v>2213</v>
      </c>
      <c r="E839" s="38"/>
      <c r="F839" s="38"/>
      <c r="G839" s="38"/>
      <c r="H839" s="105" t="s">
        <v>79</v>
      </c>
      <c r="I839" s="48" t="s">
        <v>2214</v>
      </c>
      <c r="J839" s="42" t="str">
        <f>IFERROR(__xludf.DUMMYFUNCTION("GOOGLETRANSLATE(I839,""en"",""pl"")"),"Licencja WAVE Encoder. Umożliwia nagrywanie do czterech (4) kanałów, obejmuje dożywotnią aktualizację oprogramowania. Brak kosztów rocznych i konserwacyjnych. (Maksymalna liczba uzasadnionych dezaktywacji: 3 za pośrednictwem wsparcia technicznego)")</f>
        <v>Licencja WAVE Encoder. Umożliwia nagrywanie do czterech (4) kanałów, obejmuje dożywotnią aktualizację oprogramowania. Brak kosztów rocznych i konserwacyjnych. (Maksymalna liczba uzasadnionych dezaktywacji: 3 za pośrednictwem wsparcia technicznego)</v>
      </c>
      <c r="K839" s="43" t="s">
        <v>189</v>
      </c>
      <c r="L839" s="44">
        <v>116.0</v>
      </c>
      <c r="M839" s="8"/>
      <c r="N839" s="45" t="s">
        <v>22</v>
      </c>
      <c r="O839" s="97"/>
      <c r="P839" s="9"/>
      <c r="Q839" s="9"/>
      <c r="R839" s="59"/>
      <c r="S839" s="59"/>
      <c r="T839" s="59"/>
      <c r="U839" s="9"/>
      <c r="V839" s="9"/>
      <c r="W839" s="9"/>
      <c r="X839" s="9"/>
      <c r="Y839" s="9"/>
      <c r="Z839" s="9"/>
      <c r="AA839" s="9"/>
      <c r="AB839" s="9"/>
      <c r="AC839" s="101"/>
      <c r="AD839" s="75"/>
      <c r="AE839" s="75"/>
      <c r="AF839" s="75"/>
      <c r="AG839" s="75"/>
      <c r="AH839" s="75"/>
      <c r="AI839" s="75"/>
      <c r="AJ839" s="75"/>
      <c r="AK839" s="75"/>
      <c r="AL839" s="75"/>
      <c r="AM839" s="75"/>
      <c r="AN839" s="75"/>
      <c r="AO839" s="75"/>
      <c r="AP839" s="75"/>
    </row>
    <row r="840" ht="46.5" customHeight="1">
      <c r="A840" s="1"/>
      <c r="B840" s="38" t="s">
        <v>2190</v>
      </c>
      <c r="C840" s="39" t="s">
        <v>2215</v>
      </c>
      <c r="D840" s="40" t="s">
        <v>2216</v>
      </c>
      <c r="E840" s="38"/>
      <c r="F840" s="38"/>
      <c r="G840" s="38"/>
      <c r="H840" s="39" t="s">
        <v>79</v>
      </c>
      <c r="I840" s="48" t="s">
        <v>2217</v>
      </c>
      <c r="J840" s="42" t="str">
        <f>IFERROR(__xludf.DUMMYFUNCTION("GOOGLETRANSLATE(I840,""en"",""pl"")"),"Licencja WAVE I/O. Umożliwia korzystanie z jednego (1) modułu I/O, obejmuje dożywotnią aktualizację oprogramowania. Nie wymaga corocznych kosztów ani kosztów konserwacji. (Maksymalna liczba uzasadnionych dezaktywacji: 3 za pośrednictwem wsparcia techniczn"&amp;"ego)")</f>
        <v>Licencja WAVE I/O. Umożliwia korzystanie z jednego (1) modułu I/O, obejmuje dożywotnią aktualizację oprogramowania. Nie wymaga corocznych kosztów ani kosztów konserwacji. (Maksymalna liczba uzasadnionych dezaktywacji: 3 za pośrednictwem wsparcia technicznego)</v>
      </c>
      <c r="K840" s="43" t="s">
        <v>189</v>
      </c>
      <c r="L840" s="44">
        <v>116.0</v>
      </c>
      <c r="M840" s="8"/>
      <c r="N840" s="45" t="s">
        <v>22</v>
      </c>
      <c r="O840" s="97"/>
      <c r="P840" s="9"/>
      <c r="Q840" s="9"/>
      <c r="R840" s="59"/>
      <c r="S840" s="59"/>
      <c r="T840" s="59"/>
      <c r="U840" s="9"/>
      <c r="V840" s="9"/>
      <c r="W840" s="9"/>
      <c r="X840" s="9"/>
      <c r="Y840" s="9"/>
      <c r="Z840" s="9"/>
      <c r="AA840" s="9"/>
      <c r="AB840" s="9"/>
      <c r="AC840" s="101"/>
      <c r="AD840" s="75"/>
      <c r="AE840" s="75"/>
      <c r="AF840" s="75"/>
      <c r="AG840" s="75"/>
      <c r="AH840" s="75"/>
      <c r="AI840" s="75"/>
      <c r="AJ840" s="75"/>
      <c r="AK840" s="75"/>
      <c r="AL840" s="75"/>
      <c r="AM840" s="75"/>
      <c r="AN840" s="75"/>
      <c r="AO840" s="75"/>
      <c r="AP840" s="75"/>
    </row>
    <row r="841" ht="46.5" customHeight="1">
      <c r="A841" s="1"/>
      <c r="B841" s="102" t="s">
        <v>2190</v>
      </c>
      <c r="C841" s="103" t="s">
        <v>2218</v>
      </c>
      <c r="D841" s="104" t="s">
        <v>2219</v>
      </c>
      <c r="E841" s="38"/>
      <c r="F841" s="38"/>
      <c r="G841" s="38"/>
      <c r="H841" s="103" t="s">
        <v>79</v>
      </c>
      <c r="I841" s="106" t="s">
        <v>2220</v>
      </c>
      <c r="J841" s="42" t="str">
        <f>IFERROR(__xludf.DUMMYFUNCTION("GOOGLETRANSLATE(I841,""en"",""pl"")"),"Licencja WAVE Embedded Recorder. Umożliwia odtwarzanie z czterech (4) kanałów Hanwha Embedded Recorder, obejmuje dożywotnią aktualizację oprogramowania. Brak kosztów rocznych i konserwacyjnych. (Maksymalna liczba uzasadnionych dezaktywacji: 3 za pośrednic"&amp;"twem wsparcia technicznego)")</f>
        <v>Licencja WAVE Embedded Recorder. Umożliwia odtwarzanie z czterech (4) kanałów Hanwha Embedded Recorder, obejmuje dożywotnią aktualizację oprogramowania. Brak kosztów rocznych i konserwacyjnych. (Maksymalna liczba uzasadnionych dezaktywacji: 3 za pośrednictwem wsparcia technicznego)</v>
      </c>
      <c r="K841" s="43" t="s">
        <v>189</v>
      </c>
      <c r="L841" s="44">
        <v>116.0</v>
      </c>
      <c r="M841" s="8"/>
      <c r="N841" s="45" t="s">
        <v>22</v>
      </c>
      <c r="O841" s="97"/>
      <c r="P841" s="9"/>
      <c r="Q841" s="9"/>
      <c r="R841" s="59"/>
      <c r="S841" s="59"/>
      <c r="T841" s="59"/>
      <c r="U841" s="9"/>
      <c r="V841" s="9"/>
      <c r="W841" s="9"/>
      <c r="X841" s="9"/>
      <c r="Y841" s="9"/>
      <c r="Z841" s="9"/>
      <c r="AA841" s="9"/>
      <c r="AB841" s="9"/>
      <c r="AC841" s="101"/>
      <c r="AD841" s="75"/>
      <c r="AE841" s="75"/>
      <c r="AF841" s="75"/>
      <c r="AG841" s="75"/>
      <c r="AH841" s="75"/>
      <c r="AI841" s="75"/>
      <c r="AJ841" s="75"/>
      <c r="AK841" s="75"/>
      <c r="AL841" s="75"/>
      <c r="AM841" s="75"/>
      <c r="AN841" s="75"/>
      <c r="AO841" s="75"/>
      <c r="AP841" s="75"/>
    </row>
    <row r="842" ht="30.0" customHeight="1">
      <c r="A842" s="1"/>
      <c r="B842" s="129" t="s">
        <v>2221</v>
      </c>
      <c r="C842" s="113"/>
      <c r="D842" s="113"/>
      <c r="E842" s="144"/>
      <c r="F842" s="144"/>
      <c r="G842" s="144"/>
      <c r="H842" s="94"/>
      <c r="I842" s="113"/>
      <c r="J842" s="42" t="str">
        <f>IFERROR(__xludf.DUMMYFUNCTION("GOOGLETRANSLATE(I842,""en"",""pl"")"),"#VALUE!")</f>
        <v>#VALUE!</v>
      </c>
      <c r="K842" s="144"/>
      <c r="L842" s="114"/>
      <c r="M842" s="115"/>
      <c r="N842" s="96"/>
      <c r="O842" s="146"/>
      <c r="P842" s="11"/>
      <c r="Q842" s="9"/>
      <c r="R842" s="59"/>
      <c r="S842" s="59"/>
      <c r="T842" s="59"/>
      <c r="U842" s="9"/>
      <c r="V842" s="9"/>
      <c r="W842" s="9"/>
      <c r="X842" s="9"/>
      <c r="Y842" s="9"/>
      <c r="Z842" s="9"/>
      <c r="AA842" s="9"/>
      <c r="AB842" s="9"/>
      <c r="AC842" s="60"/>
      <c r="AD842" s="61"/>
      <c r="AE842" s="61"/>
      <c r="AF842" s="61"/>
      <c r="AG842" s="61"/>
      <c r="AH842" s="61"/>
      <c r="AI842" s="61"/>
      <c r="AJ842" s="61"/>
      <c r="AK842" s="61"/>
      <c r="AL842" s="61"/>
      <c r="AM842" s="61"/>
      <c r="AN842" s="61"/>
      <c r="AO842" s="61"/>
      <c r="AP842" s="61"/>
    </row>
    <row r="843" ht="46.5" customHeight="1">
      <c r="A843" s="1"/>
      <c r="B843" s="38" t="s">
        <v>2222</v>
      </c>
      <c r="C843" s="148" t="s">
        <v>2223</v>
      </c>
      <c r="D843" s="39" t="s">
        <v>2224</v>
      </c>
      <c r="E843" s="38"/>
      <c r="F843" s="38"/>
      <c r="G843" s="38"/>
      <c r="H843" s="41" t="s">
        <v>2225</v>
      </c>
      <c r="I843" s="48" t="s">
        <v>2226</v>
      </c>
      <c r="J843" s="42" t="str">
        <f>IFERROR(__xludf.DUMMYFUNCTION("GOOGLETRANSLATE(I843,""en"",""pl"")"),"Rejestrator wideo sieciowy Wisenet WAVE 2U z 4 licencjami Professional, preinstalowany Wisenet WAVE, nagrywanie czarno-białe z prędkością do 150 Mb/s, 4 zatoki na dyski twarde (3,5 cala) o pojemności do 24 TB, procesor Intel, Linux Ubuntu, HDMI, wyjście V"&amp;"GA, 16 portów kamer PoE+ z całkowitym budżetem PoE 200 W, zasilacz 320 W, mysz w zestawie, uchwyty montażowe w zestawie, brak dysku twardego (system barebone)")</f>
        <v>Rejestrator wideo sieciowy Wisenet WAVE 2U z 4 licencjami Professional, preinstalowany Wisenet WAVE, nagrywanie czarno-białe z prędkością do 150 Mb/s, 4 zatoki na dyski twarde (3,5 cala) o pojemności do 24 TB, procesor Intel, Linux Ubuntu, HDMI, wyjście VGA, 16 portów kamer PoE+ z całkowitym budżetem PoE 200 W, zasilacz 320 W, mysz w zestawie, uchwyty montażowe w zestawie, brak dysku twardego (system barebone)</v>
      </c>
      <c r="K843" s="38"/>
      <c r="L843" s="44">
        <v>2182.0</v>
      </c>
      <c r="M843" s="8"/>
      <c r="N843" s="45" t="s">
        <v>22</v>
      </c>
      <c r="O843" s="97"/>
      <c r="P843" s="9"/>
      <c r="Q843" s="9"/>
      <c r="R843" s="59"/>
      <c r="S843" s="59"/>
      <c r="T843" s="59"/>
      <c r="U843" s="9"/>
      <c r="V843" s="9"/>
      <c r="W843" s="9"/>
      <c r="X843" s="9"/>
      <c r="Y843" s="9"/>
      <c r="Z843" s="9"/>
      <c r="AA843" s="9"/>
      <c r="AB843" s="9"/>
      <c r="AC843" s="101"/>
      <c r="AD843" s="75"/>
      <c r="AE843" s="75"/>
      <c r="AF843" s="75"/>
      <c r="AG843" s="75"/>
      <c r="AH843" s="75"/>
      <c r="AI843" s="75"/>
      <c r="AJ843" s="75"/>
      <c r="AK843" s="75"/>
      <c r="AL843" s="75"/>
      <c r="AM843" s="75"/>
      <c r="AN843" s="75"/>
      <c r="AO843" s="75"/>
      <c r="AP843" s="75"/>
    </row>
    <row r="844" ht="46.5" customHeight="1">
      <c r="A844" s="1"/>
      <c r="B844" s="38" t="s">
        <v>2222</v>
      </c>
      <c r="C844" s="148" t="s">
        <v>2227</v>
      </c>
      <c r="D844" s="39" t="s">
        <v>2228</v>
      </c>
      <c r="E844" s="38"/>
      <c r="F844" s="38"/>
      <c r="G844" s="38"/>
      <c r="H844" s="41" t="s">
        <v>2229</v>
      </c>
      <c r="I844" s="48" t="s">
        <v>2230</v>
      </c>
      <c r="J844" s="42" t="str">
        <f>IFERROR(__xludf.DUMMYFUNCTION("GOOGLETRANSLATE(I844,""en"",""pl"")"),"Rejestrator wideo sieciowy Wisenet WAVE 2U z 4 licencjami Professional, preinstalowany Wisenet WAVE, dysk twardy Seagate SkyHawk 4 TB, nagrywanie czarno-białe z prędkością do 150 Mb/s, 4 zatoki na dyski twarde (3,5 cala) o pojemności do 24 TB, procesor In"&amp;"tel, Linux Ubuntu, wyjście HDMI, VGA, 16 portów kamery PoE+ z całkowitym budżetem PoE 200 W, zasilacz 320 W, mysz w zestawie, dołączone uchwyty montażowe na szynie")</f>
        <v>Rejestrator wideo sieciowy Wisenet WAVE 2U z 4 licencjami Professional, preinstalowany Wisenet WAVE, dysk twardy Seagate SkyHawk 4 TB,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44" s="38"/>
      <c r="L844" s="44">
        <v>2402.0</v>
      </c>
      <c r="M844" s="8"/>
      <c r="N844" s="45" t="s">
        <v>22</v>
      </c>
      <c r="O844" s="97"/>
      <c r="P844" s="9"/>
      <c r="Q844" s="9"/>
      <c r="R844" s="59"/>
      <c r="S844" s="59"/>
      <c r="T844" s="59"/>
      <c r="U844" s="9"/>
      <c r="V844" s="9"/>
      <c r="W844" s="9"/>
      <c r="X844" s="9"/>
      <c r="Y844" s="9"/>
      <c r="Z844" s="9"/>
      <c r="AA844" s="9"/>
      <c r="AB844" s="9"/>
      <c r="AC844" s="101"/>
      <c r="AD844" s="75"/>
      <c r="AE844" s="75"/>
      <c r="AF844" s="75"/>
      <c r="AG844" s="75"/>
      <c r="AH844" s="75"/>
      <c r="AI844" s="75"/>
      <c r="AJ844" s="75"/>
      <c r="AK844" s="75"/>
      <c r="AL844" s="75"/>
      <c r="AM844" s="75"/>
      <c r="AN844" s="75"/>
      <c r="AO844" s="75"/>
      <c r="AP844" s="75"/>
    </row>
    <row r="845" ht="46.5" customHeight="1">
      <c r="A845" s="1"/>
      <c r="B845" s="38" t="s">
        <v>2222</v>
      </c>
      <c r="C845" s="148" t="s">
        <v>2231</v>
      </c>
      <c r="D845" s="39" t="s">
        <v>2232</v>
      </c>
      <c r="E845" s="38"/>
      <c r="F845" s="38"/>
      <c r="G845" s="38"/>
      <c r="H845" s="41" t="s">
        <v>2233</v>
      </c>
      <c r="I845" s="48" t="s">
        <v>2234</v>
      </c>
      <c r="J845" s="42" t="str">
        <f>IFERROR(__xludf.DUMMYFUNCTION("GOOGLETRANSLATE(I845,""en"",""pl"")"),"Rejestrator wideo sieciowy Wisenet WAVE 2U z 4 licencjami Professional, preinstalowany Wisenet WAVE, dysk twardy Seagate SkyHawk 6TB raw (ST6000VX009), nagrywanie czarno-białe z prędkością do 150 Mb/s, 4 zatoki na dyski twarde (3,5 cala) o pojemności do 2"&amp;"4 TB, procesor Intel, Linux Ubuntu, wyjście HDMI, VGA, 16 portów kamery PoE+ z całkowitym budżetem PoE 200 W, zasilacz 320 W, mysz w zestawie, dołączone uchwyty montażowe na szynie")</f>
        <v>Rejestrator wideo sieciowy Wisenet WAVE 2U z 4 licencjami Professional, preinstalowany Wisenet WAVE, dysk twardy Seagate SkyHawk 6TB raw (ST6000VX009),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45" s="38"/>
      <c r="L845" s="44">
        <v>2582.0</v>
      </c>
      <c r="M845" s="8"/>
      <c r="N845" s="45" t="s">
        <v>22</v>
      </c>
      <c r="O845" s="97"/>
      <c r="P845" s="9"/>
      <c r="Q845" s="9"/>
      <c r="R845" s="59"/>
      <c r="S845" s="59"/>
      <c r="T845" s="59"/>
      <c r="U845" s="9"/>
      <c r="V845" s="9"/>
      <c r="W845" s="9"/>
      <c r="X845" s="9"/>
      <c r="Y845" s="9"/>
      <c r="Z845" s="9"/>
      <c r="AA845" s="9"/>
      <c r="AB845" s="9"/>
      <c r="AC845" s="101"/>
      <c r="AD845" s="75"/>
      <c r="AE845" s="75"/>
      <c r="AF845" s="75"/>
      <c r="AG845" s="75"/>
      <c r="AH845" s="75"/>
      <c r="AI845" s="75"/>
      <c r="AJ845" s="75"/>
      <c r="AK845" s="75"/>
      <c r="AL845" s="75"/>
      <c r="AM845" s="75"/>
      <c r="AN845" s="75"/>
      <c r="AO845" s="75"/>
      <c r="AP845" s="75"/>
    </row>
    <row r="846" ht="46.5" customHeight="1">
      <c r="A846" s="1"/>
      <c r="B846" s="38" t="s">
        <v>2222</v>
      </c>
      <c r="C846" s="148" t="s">
        <v>2235</v>
      </c>
      <c r="D846" s="39" t="s">
        <v>2236</v>
      </c>
      <c r="E846" s="38"/>
      <c r="F846" s="38"/>
      <c r="G846" s="38"/>
      <c r="H846" s="41" t="s">
        <v>2237</v>
      </c>
      <c r="I846" s="48" t="s">
        <v>2238</v>
      </c>
      <c r="J846" s="42" t="str">
        <f>IFERROR(__xludf.DUMMYFUNCTION("GOOGLETRANSLATE(I846,""en"",""pl"")"),"Rejestrator wideo sieciowy Wisenet WAVE 2U z 4 licencjami Professional, preinstalowany Wisenet WAVE, Seagate SkyHawk 2x 4TB raw (ST4000VX016), nagrywanie czarno-białe z prędkością do 150 Mb/s, 4 zatoki na dyski twarde (3,5 cala) o pojemności do 24 TB, pro"&amp;"cesor Intel, Linux Ubuntu, wyjście HDMI, VGA, 16 portów kamery PoE+ z całkowitym budżetem PoE 200 W, zasilacz 320 W, mysz w zestawie, dołączone uchwyty montażowe na szynie")</f>
        <v>Rejestrator wideo sieciowy Wisenet WAVE 2U z 4 licencjami Professional, preinstalowany Wisenet WAVE, Seagate SkyHawk 2x 4TB raw (ST4000VX016),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46" s="38"/>
      <c r="L846" s="44">
        <v>2612.0</v>
      </c>
      <c r="M846" s="8"/>
      <c r="N846" s="45" t="s">
        <v>22</v>
      </c>
      <c r="O846" s="97"/>
      <c r="P846" s="9"/>
      <c r="Q846" s="9"/>
      <c r="R846" s="59"/>
      <c r="S846" s="59"/>
      <c r="T846" s="59"/>
      <c r="U846" s="9"/>
      <c r="V846" s="9"/>
      <c r="W846" s="9"/>
      <c r="X846" s="9"/>
      <c r="Y846" s="9"/>
      <c r="Z846" s="9"/>
      <c r="AA846" s="9"/>
      <c r="AB846" s="9"/>
      <c r="AC846" s="101"/>
      <c r="AD846" s="75"/>
      <c r="AE846" s="75"/>
      <c r="AF846" s="75"/>
      <c r="AG846" s="75"/>
      <c r="AH846" s="75"/>
      <c r="AI846" s="75"/>
      <c r="AJ846" s="75"/>
      <c r="AK846" s="75"/>
      <c r="AL846" s="75"/>
      <c r="AM846" s="75"/>
      <c r="AN846" s="75"/>
      <c r="AO846" s="75"/>
      <c r="AP846" s="75"/>
    </row>
    <row r="847" ht="46.5" customHeight="1">
      <c r="A847" s="1"/>
      <c r="B847" s="38" t="s">
        <v>2222</v>
      </c>
      <c r="C847" s="148" t="s">
        <v>2239</v>
      </c>
      <c r="D847" s="39" t="s">
        <v>2240</v>
      </c>
      <c r="E847" s="38"/>
      <c r="F847" s="38"/>
      <c r="G847" s="38"/>
      <c r="H847" s="41" t="s">
        <v>2241</v>
      </c>
      <c r="I847" s="48" t="s">
        <v>2242</v>
      </c>
      <c r="J847" s="42" t="str">
        <f>IFERROR(__xludf.DUMMYFUNCTION("GOOGLETRANSLATE(I847,""en"",""pl"")"),"Rejestrator wideo sieciowy Wisenet WAVE 2U z 8 licencjami Professional, preinstalowany Wisenet WAVE, nagrywanie czarno-białe z prędkością do 150 Mb/s, 4 zatoki na dyski twarde (3,5 cala) o pojemności do 24 TB, procesor Intel, Linux Ubuntu, HDMI, wyjście V"&amp;"GA, 16 portów kamer PoE+ z całkowitym budżetem PoE 200 W, zasilacz 320 W, mysz w zestawie, uchwyty montażowe w zestawie, brak dysku twardego (system barebone)")</f>
        <v>Rejestrator wideo sieciowy Wisenet WAVE 2U z 8 licencjami Professional, preinstalowany Wisenet WAVE, nagrywanie czarno-białe z prędkością do 150 Mb/s, 4 zatoki na dyski twarde (3,5 cala) o pojemności do 24 TB, procesor Intel, Linux Ubuntu, HDMI, wyjście VGA, 16 portów kamer PoE+ z całkowitym budżetem PoE 200 W, zasilacz 320 W, mysz w zestawie, uchwyty montażowe w zestawie, brak dysku twardego (system barebone)</v>
      </c>
      <c r="K847" s="38"/>
      <c r="L847" s="44">
        <v>2714.0</v>
      </c>
      <c r="M847" s="8"/>
      <c r="N847" s="45" t="s">
        <v>22</v>
      </c>
      <c r="O847" s="97"/>
      <c r="P847" s="9"/>
      <c r="Q847" s="9"/>
      <c r="R847" s="59"/>
      <c r="S847" s="59"/>
      <c r="T847" s="59"/>
      <c r="U847" s="9"/>
      <c r="V847" s="9"/>
      <c r="W847" s="9"/>
      <c r="X847" s="9"/>
      <c r="Y847" s="9"/>
      <c r="Z847" s="9"/>
      <c r="AA847" s="9"/>
      <c r="AB847" s="9"/>
      <c r="AC847" s="101"/>
      <c r="AD847" s="75"/>
      <c r="AE847" s="75"/>
      <c r="AF847" s="75"/>
      <c r="AG847" s="75"/>
      <c r="AH847" s="75"/>
      <c r="AI847" s="75"/>
      <c r="AJ847" s="75"/>
      <c r="AK847" s="75"/>
      <c r="AL847" s="75"/>
      <c r="AM847" s="75"/>
      <c r="AN847" s="75"/>
      <c r="AO847" s="75"/>
      <c r="AP847" s="75"/>
    </row>
    <row r="848" ht="46.5" customHeight="1">
      <c r="A848" s="1"/>
      <c r="B848" s="38" t="s">
        <v>2222</v>
      </c>
      <c r="C848" s="148" t="s">
        <v>2243</v>
      </c>
      <c r="D848" s="39" t="s">
        <v>2244</v>
      </c>
      <c r="E848" s="38"/>
      <c r="F848" s="38"/>
      <c r="G848" s="38"/>
      <c r="H848" s="41" t="s">
        <v>2245</v>
      </c>
      <c r="I848" s="48" t="s">
        <v>2246</v>
      </c>
      <c r="J848" s="42" t="str">
        <f>IFERROR(__xludf.DUMMYFUNCTION("GOOGLETRANSLATE(I848,""en"",""pl"")"),"Rejestrator wideo sieciowy Wisenet WAVE 2U z 8 licencjami Professional, preinstalowany Wisenet WAVE, dysk twardy Seagate SkyHawk 4 TB, nagrywanie czarno-białe z prędkością do 150 Mb/s, 4 zatoki na dyski twarde (3,5 cala) o pojemności do 24 TB, procesor In"&amp;"tel, Linux Ubuntu, wyjście HDMI, VGA, 16 portów kamery PoE+ z całkowitym budżetem PoE 200 W, zasilacz 320 W, mysz w zestawie, dołączone uchwyty montażowe na szynie")</f>
        <v>Rejestrator wideo sieciowy Wisenet WAVE 2U z 8 licencjami Professional, preinstalowany Wisenet WAVE, dysk twardy Seagate SkyHawk 4 TB,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48" s="38"/>
      <c r="L848" s="44">
        <v>2934.0</v>
      </c>
      <c r="M848" s="8"/>
      <c r="N848" s="45" t="s">
        <v>22</v>
      </c>
      <c r="O848" s="97"/>
      <c r="P848" s="9"/>
      <c r="Q848" s="9"/>
      <c r="R848" s="59"/>
      <c r="S848" s="59"/>
      <c r="T848" s="59"/>
      <c r="U848" s="9"/>
      <c r="V848" s="9"/>
      <c r="W848" s="9"/>
      <c r="X848" s="9"/>
      <c r="Y848" s="9"/>
      <c r="Z848" s="9"/>
      <c r="AA848" s="9"/>
      <c r="AB848" s="9"/>
      <c r="AC848" s="101"/>
      <c r="AD848" s="75"/>
      <c r="AE848" s="75"/>
      <c r="AF848" s="75"/>
      <c r="AG848" s="75"/>
      <c r="AH848" s="75"/>
      <c r="AI848" s="75"/>
      <c r="AJ848" s="75"/>
      <c r="AK848" s="75"/>
      <c r="AL848" s="75"/>
      <c r="AM848" s="75"/>
      <c r="AN848" s="75"/>
      <c r="AO848" s="75"/>
      <c r="AP848" s="75"/>
    </row>
    <row r="849" ht="46.5" customHeight="1">
      <c r="A849" s="1"/>
      <c r="B849" s="38" t="s">
        <v>2222</v>
      </c>
      <c r="C849" s="148" t="s">
        <v>2247</v>
      </c>
      <c r="D849" s="39" t="s">
        <v>2248</v>
      </c>
      <c r="E849" s="38"/>
      <c r="F849" s="38"/>
      <c r="G849" s="38"/>
      <c r="H849" s="41" t="s">
        <v>2249</v>
      </c>
      <c r="I849" s="48" t="s">
        <v>2250</v>
      </c>
      <c r="J849" s="42" t="str">
        <f>IFERROR(__xludf.DUMMYFUNCTION("GOOGLETRANSLATE(I849,""en"",""pl"")"),"Rejestrator wideo sieciowy Wisenet WAVE 2U z 8 licencjami Professional, preinstalowany Wisenet WAVE, dysk twardy Seagate SkyHawk 6 TB (ST6000VX009), nagrywanie czarno-białe z prędkością do 150 Mb/s, 4 zatoki na dyski twarde (3,5 cala) o pojemności do 24 T"&amp;"B, procesor Intel, Linux Ubuntu, wyjście HDMI, VGA, 16 portów kamery PoE+ z całkowitym budżetem PoE 200 W, zasilacz 320 W, mysz w zestawie, dołączone uchwyty montażowe na szynie")</f>
        <v>Rejestrator wideo sieciowy Wisenet WAVE 2U z 8 licencjami Professional, preinstalowany Wisenet WAVE, dysk twardy Seagate SkyHawk 6 TB (ST6000VX009),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49" s="38"/>
      <c r="L849" s="44">
        <v>3120.0</v>
      </c>
      <c r="M849" s="8"/>
      <c r="N849" s="45" t="s">
        <v>22</v>
      </c>
      <c r="O849" s="97"/>
      <c r="P849" s="9"/>
      <c r="Q849" s="9"/>
      <c r="R849" s="59"/>
      <c r="S849" s="59"/>
      <c r="T849" s="59"/>
      <c r="U849" s="9"/>
      <c r="V849" s="9"/>
      <c r="W849" s="9"/>
      <c r="X849" s="9"/>
      <c r="Y849" s="9"/>
      <c r="Z849" s="9"/>
      <c r="AA849" s="9"/>
      <c r="AB849" s="9"/>
      <c r="AC849" s="101"/>
      <c r="AD849" s="75"/>
      <c r="AE849" s="75"/>
      <c r="AF849" s="75"/>
      <c r="AG849" s="75"/>
      <c r="AH849" s="75"/>
      <c r="AI849" s="75"/>
      <c r="AJ849" s="75"/>
      <c r="AK849" s="75"/>
      <c r="AL849" s="75"/>
      <c r="AM849" s="75"/>
      <c r="AN849" s="75"/>
      <c r="AO849" s="75"/>
      <c r="AP849" s="75"/>
    </row>
    <row r="850" ht="46.5" customHeight="1">
      <c r="A850" s="1"/>
      <c r="B850" s="38" t="s">
        <v>2222</v>
      </c>
      <c r="C850" s="148" t="s">
        <v>2251</v>
      </c>
      <c r="D850" s="39" t="s">
        <v>2252</v>
      </c>
      <c r="E850" s="38"/>
      <c r="F850" s="38"/>
      <c r="G850" s="38"/>
      <c r="H850" s="41" t="s">
        <v>2253</v>
      </c>
      <c r="I850" s="48" t="s">
        <v>2254</v>
      </c>
      <c r="J850" s="42" t="str">
        <f>IFERROR(__xludf.DUMMYFUNCTION("GOOGLETRANSLATE(I850,""en"",""pl"")"),"Rejestrator wideo sieciowy Wisenet WAVE 2U z 8 licencjami Professional, preinstalowany Wisenet WAVE, Seagate SkyHawk 2x 4TB raw (ST4000VX016), nagrywanie czarno-białe z prędkością do 150 Mb/s, 4 zatoki na dyski twarde (3,5 cala) o pojemności do 24 TB, pro"&amp;"cesor Intel, Linux Ubuntu, wyjście HDMI, VGA, 16 portów kamery PoE+ z całkowitym budżetem PoE 200 W, zasilacz 320 W, mysz w zestawie, dołączone uchwyty montażowe na szynie")</f>
        <v>Rejestrator wideo sieciowy Wisenet WAVE 2U z 8 licencjami Professional, preinstalowany Wisenet WAVE, Seagate SkyHawk 2x 4TB raw (ST4000VX016),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50" s="38"/>
      <c r="L850" s="44">
        <v>3180.0</v>
      </c>
      <c r="M850" s="8"/>
      <c r="N850" s="45" t="s">
        <v>22</v>
      </c>
      <c r="O850" s="97"/>
      <c r="P850" s="9"/>
      <c r="Q850" s="9"/>
      <c r="R850" s="59"/>
      <c r="S850" s="59"/>
      <c r="T850" s="59"/>
      <c r="U850" s="9"/>
      <c r="V850" s="9"/>
      <c r="W850" s="9"/>
      <c r="X850" s="9"/>
      <c r="Y850" s="9"/>
      <c r="Z850" s="9"/>
      <c r="AA850" s="9"/>
      <c r="AB850" s="9"/>
      <c r="AC850" s="101"/>
      <c r="AD850" s="75"/>
      <c r="AE850" s="75"/>
      <c r="AF850" s="75"/>
      <c r="AG850" s="75"/>
      <c r="AH850" s="75"/>
      <c r="AI850" s="75"/>
      <c r="AJ850" s="75"/>
      <c r="AK850" s="75"/>
      <c r="AL850" s="75"/>
      <c r="AM850" s="75"/>
      <c r="AN850" s="75"/>
      <c r="AO850" s="75"/>
      <c r="AP850" s="75"/>
    </row>
    <row r="851" ht="46.5" customHeight="1">
      <c r="A851" s="1"/>
      <c r="B851" s="38" t="s">
        <v>2222</v>
      </c>
      <c r="C851" s="148" t="s">
        <v>2255</v>
      </c>
      <c r="D851" s="39" t="s">
        <v>2256</v>
      </c>
      <c r="E851" s="38"/>
      <c r="F851" s="38"/>
      <c r="G851" s="38"/>
      <c r="H851" s="41" t="s">
        <v>2257</v>
      </c>
      <c r="I851" s="48" t="s">
        <v>2258</v>
      </c>
      <c r="J851" s="42" t="str">
        <f>IFERROR(__xludf.DUMMYFUNCTION("GOOGLETRANSLATE(I851,""en"",""pl"")"),"Rejestrator wideo sieciowy Wisenet WAVE 2U z 16 licencjami Professional, preinstalowany Wisenet WAVE, nagrywanie czarno-białe z prędkością do 150 Mb/s, 4 zatoki na dyski twarde (3,5 cala) o pojemności do 24 TB, procesor Intel, Linux Ubuntu, HDMI, wyjście "&amp;"VGA, 16 portów kamer PoE+ z całkowitym budżetem PoE 200 W, zasilacz 320 W, mysz w zestawie, uchwyty montażowe w zestawie, brak dysku twardego (system barebone)")</f>
        <v>Rejestrator wideo sieciowy Wisenet WAVE 2U z 16 licencjami Professional, preinstalowany Wisenet WAVE, nagrywanie czarno-białe z prędkością do 150 Mb/s, 4 zatoki na dyski twarde (3,5 cala) o pojemności do 24 TB, procesor Intel, Linux Ubuntu, HDMI, wyjście VGA, 16 portów kamer PoE+ z całkowitym budżetem PoE 200 W, zasilacz 320 W, mysz w zestawie, uchwyty montażowe w zestawie, brak dysku twardego (system barebone)</v>
      </c>
      <c r="K851" s="38"/>
      <c r="L851" s="44">
        <v>3778.0</v>
      </c>
      <c r="M851" s="8"/>
      <c r="N851" s="45" t="s">
        <v>22</v>
      </c>
      <c r="O851" s="97"/>
      <c r="P851" s="9"/>
      <c r="Q851" s="9"/>
      <c r="R851" s="59"/>
      <c r="S851" s="59"/>
      <c r="T851" s="59"/>
      <c r="U851" s="9"/>
      <c r="V851" s="9"/>
      <c r="W851" s="9"/>
      <c r="X851" s="9"/>
      <c r="Y851" s="9"/>
      <c r="Z851" s="9"/>
      <c r="AA851" s="9"/>
      <c r="AB851" s="9"/>
      <c r="AC851" s="101"/>
      <c r="AD851" s="75"/>
      <c r="AE851" s="75"/>
      <c r="AF851" s="75"/>
      <c r="AG851" s="75"/>
      <c r="AH851" s="75"/>
      <c r="AI851" s="75"/>
      <c r="AJ851" s="75"/>
      <c r="AK851" s="75"/>
      <c r="AL851" s="75"/>
      <c r="AM851" s="75"/>
      <c r="AN851" s="75"/>
      <c r="AO851" s="75"/>
      <c r="AP851" s="75"/>
    </row>
    <row r="852" ht="46.5" customHeight="1">
      <c r="A852" s="1"/>
      <c r="B852" s="38" t="s">
        <v>2222</v>
      </c>
      <c r="C852" s="148" t="s">
        <v>2259</v>
      </c>
      <c r="D852" s="39" t="s">
        <v>2260</v>
      </c>
      <c r="E852" s="38"/>
      <c r="F852" s="38"/>
      <c r="G852" s="38"/>
      <c r="H852" s="41" t="s">
        <v>2261</v>
      </c>
      <c r="I852" s="48" t="s">
        <v>2262</v>
      </c>
      <c r="J852" s="42" t="str">
        <f>IFERROR(__xludf.DUMMYFUNCTION("GOOGLETRANSLATE(I852,""en"",""pl"")"),"Rejestrator wideo sieciowy Wisenet WAVE 2U z 16 licencjami Professional, preinstalowany Wisenet WAVE, dysk twardy Seagate SkyHawk 4 TB, nagrywanie czarno-białe z prędkością do 150 Mb/s, 4 zatoki na dyski twarde (3,5 cala) o pojemności do 24 TB, procesor I"&amp;"ntel, Linux Ubuntu, wyjście HDMI, VGA, 16 portów kamery PoE+ z całkowitym budżetem PoE 200 W, zasilacz 320 W, mysz w zestawie, dołączone uchwyty montażowe na szynie")</f>
        <v>Rejestrator wideo sieciowy Wisenet WAVE 2U z 16 licencjami Professional, preinstalowany Wisenet WAVE, dysk twardy Seagate SkyHawk 4 TB,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52" s="38"/>
      <c r="L852" s="44">
        <v>3998.0</v>
      </c>
      <c r="M852" s="8"/>
      <c r="N852" s="45" t="s">
        <v>22</v>
      </c>
      <c r="O852" s="97"/>
      <c r="P852" s="9"/>
      <c r="Q852" s="9"/>
      <c r="R852" s="59"/>
      <c r="S852" s="59"/>
      <c r="T852" s="59"/>
      <c r="U852" s="9"/>
      <c r="V852" s="9"/>
      <c r="W852" s="9"/>
      <c r="X852" s="9"/>
      <c r="Y852" s="9"/>
      <c r="Z852" s="9"/>
      <c r="AA852" s="9"/>
      <c r="AB852" s="9"/>
      <c r="AC852" s="101"/>
      <c r="AD852" s="75"/>
      <c r="AE852" s="75"/>
      <c r="AF852" s="75"/>
      <c r="AG852" s="75"/>
      <c r="AH852" s="75"/>
      <c r="AI852" s="75"/>
      <c r="AJ852" s="75"/>
      <c r="AK852" s="75"/>
      <c r="AL852" s="75"/>
      <c r="AM852" s="75"/>
      <c r="AN852" s="75"/>
      <c r="AO852" s="75"/>
      <c r="AP852" s="75"/>
    </row>
    <row r="853" ht="46.5" customHeight="1">
      <c r="A853" s="1"/>
      <c r="B853" s="38" t="s">
        <v>2222</v>
      </c>
      <c r="C853" s="148" t="s">
        <v>2263</v>
      </c>
      <c r="D853" s="39" t="s">
        <v>2264</v>
      </c>
      <c r="E853" s="38"/>
      <c r="F853" s="38"/>
      <c r="G853" s="38"/>
      <c r="H853" s="41" t="s">
        <v>2265</v>
      </c>
      <c r="I853" s="48" t="s">
        <v>2266</v>
      </c>
      <c r="J853" s="42" t="str">
        <f>IFERROR(__xludf.DUMMYFUNCTION("GOOGLETRANSLATE(I853,""en"",""pl"")"),"Rejestrator wideo sieciowy Wisenet WAVE 2U z 16 licencjami Professional, preinstalowany Wisenet WAVE, dysk twardy Seagate SkyHawk 6 TB (ST6000VX009), nagrywanie czarno-białe z prędkością do 150 Mb/s, 4 zatoki na dyski twarde (3,5 cala) o pojemności do 24 "&amp;"TB, procesor Intel, Linux Ubuntu, wyjście HDMI, VGA, 16 portów kamery PoE+ z całkowitym budżetem PoE 200 W, zasilacz 320 W, mysz w zestawie, dołączone uchwyty montażowe na szynie")</f>
        <v>Rejestrator wideo sieciowy Wisenet WAVE 2U z 16 licencjami Professional, preinstalowany Wisenet WAVE, dysk twardy Seagate SkyHawk 6 TB (ST6000VX009),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53" s="38"/>
      <c r="L853" s="44">
        <v>4270.0</v>
      </c>
      <c r="M853" s="8"/>
      <c r="N853" s="45" t="s">
        <v>22</v>
      </c>
      <c r="O853" s="97"/>
      <c r="P853" s="9"/>
      <c r="Q853" s="9"/>
      <c r="R853" s="59"/>
      <c r="S853" s="59"/>
      <c r="T853" s="59"/>
      <c r="U853" s="9"/>
      <c r="V853" s="9"/>
      <c r="W853" s="9"/>
      <c r="X853" s="9"/>
      <c r="Y853" s="9"/>
      <c r="Z853" s="9"/>
      <c r="AA853" s="9"/>
      <c r="AB853" s="9"/>
      <c r="AC853" s="101"/>
      <c r="AD853" s="75"/>
      <c r="AE853" s="75"/>
      <c r="AF853" s="75"/>
      <c r="AG853" s="75"/>
      <c r="AH853" s="75"/>
      <c r="AI853" s="75"/>
      <c r="AJ853" s="75"/>
      <c r="AK853" s="75"/>
      <c r="AL853" s="75"/>
      <c r="AM853" s="75"/>
      <c r="AN853" s="75"/>
      <c r="AO853" s="75"/>
      <c r="AP853" s="75"/>
    </row>
    <row r="854" ht="46.5" customHeight="1">
      <c r="A854" s="1"/>
      <c r="B854" s="38" t="s">
        <v>2222</v>
      </c>
      <c r="C854" s="148" t="s">
        <v>2267</v>
      </c>
      <c r="D854" s="39" t="s">
        <v>2268</v>
      </c>
      <c r="E854" s="38"/>
      <c r="F854" s="38"/>
      <c r="G854" s="38"/>
      <c r="H854" s="41" t="s">
        <v>2269</v>
      </c>
      <c r="I854" s="48" t="s">
        <v>2270</v>
      </c>
      <c r="J854" s="42" t="str">
        <f>IFERROR(__xludf.DUMMYFUNCTION("GOOGLETRANSLATE(I854,""en"",""pl"")"),"Rejestrator wideo sieciowy Wisenet WAVE 2U z 16 licencjami Professional, preinstalowany Wisenet WAVE, Seagate SkyHawk 2x 4TB raw (ST4000VX016), nagrywanie czarno-białe z prędkością do 150 Mb/s, 4 zatoki na dyski twarde (3,5 cala) o pojemności do 24 TB, pr"&amp;"ocesor Intel, Linux Ubuntu, wyjście HDMI, VGA, 16 portów kamery PoE+ z całkowitym budżetem PoE 200 W, zasilacz 320 W, mysz w zestawie, dołączone uchwyty montażowe na szynie")</f>
        <v>Rejestrator wideo sieciowy Wisenet WAVE 2U z 16 licencjami Professional, preinstalowany Wisenet WAVE, Seagate SkyHawk 2x 4TB raw (ST4000VX016),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54" s="38"/>
      <c r="L854" s="44">
        <v>4330.0</v>
      </c>
      <c r="M854" s="8"/>
      <c r="N854" s="45" t="s">
        <v>22</v>
      </c>
      <c r="O854" s="97"/>
      <c r="P854" s="9"/>
      <c r="Q854" s="9"/>
      <c r="R854" s="59"/>
      <c r="S854" s="59"/>
      <c r="T854" s="59"/>
      <c r="U854" s="9"/>
      <c r="V854" s="9"/>
      <c r="W854" s="9"/>
      <c r="X854" s="9"/>
      <c r="Y854" s="9"/>
      <c r="Z854" s="9"/>
      <c r="AA854" s="9"/>
      <c r="AB854" s="9"/>
      <c r="AC854" s="101"/>
      <c r="AD854" s="75"/>
      <c r="AE854" s="75"/>
      <c r="AF854" s="75"/>
      <c r="AG854" s="75"/>
      <c r="AH854" s="75"/>
      <c r="AI854" s="75"/>
      <c r="AJ854" s="75"/>
      <c r="AK854" s="75"/>
      <c r="AL854" s="75"/>
      <c r="AM854" s="75"/>
      <c r="AN854" s="75"/>
      <c r="AO854" s="75"/>
      <c r="AP854" s="75"/>
    </row>
    <row r="855" ht="46.5" customHeight="1">
      <c r="A855" s="1"/>
      <c r="B855" s="102" t="s">
        <v>2222</v>
      </c>
      <c r="C855" s="149" t="s">
        <v>2271</v>
      </c>
      <c r="D855" s="103" t="s">
        <v>2272</v>
      </c>
      <c r="E855" s="38"/>
      <c r="F855" s="38"/>
      <c r="G855" s="38"/>
      <c r="H855" s="41" t="s">
        <v>2273</v>
      </c>
      <c r="I855" s="106" t="s">
        <v>2274</v>
      </c>
      <c r="J855" s="42" t="str">
        <f>IFERROR(__xludf.DUMMYFUNCTION("GOOGLETRANSLATE(I855,""en"",""pl"")"),"Rejestrator wideo sieciowy Wisenet WAVE 2U z 16 licencjami Professional, preinstalowany Wisenet WAVE, dysk Seagate SkyHawk 4x 6TB raw (ST6000VX009), nagrywanie czarno-białe z prędkością do 150 Mb/s, 4 zatoki na dyski twarde (3,5 cala) o pojemności do 24 T"&amp;"B, procesor Intel, Linux Ubuntu, wyjście HDMI, VGA, 16 portów kamery PoE+ z całkowitym budżetem PoE 200 W, zasilacz 320 W, mysz w zestawie, dołączone uchwyty montażowe na szynie")</f>
        <v>Rejestrator wideo sieciowy Wisenet WAVE 2U z 16 licencjami Professional, preinstalowany Wisenet WAVE, dysk Seagate SkyHawk 4x 6TB raw (ST6000VX009), nagrywanie czarno-białe z prędkością do 150 Mb/s, 4 zatoki na dyski twarde (3,5 cala) o pojemności do 24 TB, procesor Intel, Linux Ubuntu, wyjście HDMI, VGA, 16 portów kamery PoE+ z całkowitym budżetem PoE 200 W, zasilacz 320 W, mysz w zestawie, dołączone uchwyty montażowe na szynie</v>
      </c>
      <c r="K855" s="38"/>
      <c r="L855" s="44">
        <v>5330.0</v>
      </c>
      <c r="M855" s="8"/>
      <c r="N855" s="45" t="s">
        <v>22</v>
      </c>
      <c r="O855" s="97"/>
      <c r="P855" s="9"/>
      <c r="Q855" s="9"/>
      <c r="R855" s="59"/>
      <c r="S855" s="59"/>
      <c r="T855" s="59"/>
      <c r="U855" s="9"/>
      <c r="V855" s="9"/>
      <c r="W855" s="9"/>
      <c r="X855" s="9"/>
      <c r="Y855" s="9"/>
      <c r="Z855" s="9"/>
      <c r="AA855" s="9"/>
      <c r="AB855" s="9"/>
      <c r="AC855" s="101"/>
      <c r="AD855" s="75"/>
      <c r="AE855" s="75"/>
      <c r="AF855" s="75"/>
      <c r="AG855" s="75"/>
      <c r="AH855" s="75"/>
      <c r="AI855" s="75"/>
      <c r="AJ855" s="75"/>
      <c r="AK855" s="75"/>
      <c r="AL855" s="75"/>
      <c r="AM855" s="75"/>
      <c r="AN855" s="75"/>
      <c r="AO855" s="75"/>
      <c r="AP855" s="75"/>
    </row>
    <row r="856" ht="46.5" customHeight="1">
      <c r="A856" s="1"/>
      <c r="B856" s="102" t="s">
        <v>2222</v>
      </c>
      <c r="C856" s="149" t="s">
        <v>2275</v>
      </c>
      <c r="D856" s="103" t="s">
        <v>2276</v>
      </c>
      <c r="E856" s="38"/>
      <c r="F856" s="38"/>
      <c r="G856" s="38"/>
      <c r="H856" s="39" t="s">
        <v>79</v>
      </c>
      <c r="I856" s="106" t="s">
        <v>2277</v>
      </c>
      <c r="J856" s="42" t="str">
        <f>IFERROR(__xludf.DUMMYFUNCTION("GOOGLETRANSLATE(I856,""en"",""pl"")"),"Rejestrator NVR WAVE 1U, obsługuje: 16 kanałów z 8 portami PoE/PoE+ (budżet PoE 100 W), 2 zatoki na dyski twarde (maks. 10 TB na dysk twardy)")</f>
        <v>Rejestrator NVR WAVE 1U, obsługuje: 16 kanałów z 8 portami PoE/PoE+ (budżet PoE 100 W), 2 zatoki na dyski twarde (maks. 10 TB na dysk twardy)</v>
      </c>
      <c r="K856" s="43" t="s">
        <v>189</v>
      </c>
      <c r="L856" s="44">
        <v>2300.0</v>
      </c>
      <c r="M856" s="8"/>
      <c r="N856" s="45" t="s">
        <v>22</v>
      </c>
      <c r="O856" s="97"/>
      <c r="P856" s="9"/>
      <c r="Q856" s="9"/>
      <c r="R856" s="59"/>
      <c r="S856" s="59"/>
      <c r="T856" s="59"/>
      <c r="U856" s="9"/>
      <c r="V856" s="9"/>
      <c r="W856" s="9"/>
      <c r="X856" s="9"/>
      <c r="Y856" s="9"/>
      <c r="Z856" s="9"/>
      <c r="AA856" s="9"/>
      <c r="AB856" s="9"/>
      <c r="AC856" s="101"/>
      <c r="AD856" s="75"/>
      <c r="AE856" s="75"/>
      <c r="AF856" s="75"/>
      <c r="AG856" s="75"/>
      <c r="AH856" s="75"/>
      <c r="AI856" s="75"/>
      <c r="AJ856" s="75"/>
      <c r="AK856" s="75"/>
      <c r="AL856" s="75"/>
      <c r="AM856" s="75"/>
      <c r="AN856" s="75"/>
      <c r="AO856" s="75"/>
      <c r="AP856" s="75"/>
    </row>
    <row r="857" ht="46.5" customHeight="1">
      <c r="A857" s="1"/>
      <c r="B857" s="102" t="s">
        <v>2222</v>
      </c>
      <c r="C857" s="149" t="s">
        <v>2278</v>
      </c>
      <c r="D857" s="103" t="s">
        <v>2279</v>
      </c>
      <c r="E857" s="38"/>
      <c r="F857" s="38"/>
      <c r="G857" s="38"/>
      <c r="H857" s="39" t="s">
        <v>79</v>
      </c>
      <c r="I857" s="106" t="s">
        <v>2280</v>
      </c>
      <c r="J857" s="42" t="str">
        <f>IFERROR(__xludf.DUMMYFUNCTION("GOOGLETRANSLATE(I857,""en"",""pl"")"),"Rejestrator NVR WAVE 1U z 4 licencjami WAVE Professional zainstalowanymi fabrycznie, obsługuje: 16 kanałów z 8 portami PoE/PoE+ (budżet PoE 100 W), 2 zatoki dysków twardych (maks. 10 TB na dysk twardy), 1 dysk twardy 6 TB w zestawie")</f>
        <v>Rejestrator NVR WAVE 1U z 4 licencjami WAVE Professional zainstalowanymi fabrycznie, obsługuje: 16 kanałów z 8 portami PoE/PoE+ (budżet PoE 100 W), 2 zatoki dysków twardych (maks. 10 TB na dysk twardy), 1 dysk twardy 6 TB w zestawie</v>
      </c>
      <c r="K857" s="43" t="s">
        <v>189</v>
      </c>
      <c r="L857" s="44">
        <v>3490.0</v>
      </c>
      <c r="M857" s="8"/>
      <c r="N857" s="45" t="s">
        <v>22</v>
      </c>
      <c r="O857" s="97"/>
      <c r="P857" s="9"/>
      <c r="Q857" s="9"/>
      <c r="R857" s="59"/>
      <c r="S857" s="59"/>
      <c r="T857" s="59"/>
      <c r="U857" s="9"/>
      <c r="V857" s="9"/>
      <c r="W857" s="9"/>
      <c r="X857" s="9"/>
      <c r="Y857" s="9"/>
      <c r="Z857" s="9"/>
      <c r="AA857" s="9"/>
      <c r="AB857" s="9"/>
      <c r="AC857" s="101"/>
      <c r="AD857" s="75"/>
      <c r="AE857" s="75"/>
      <c r="AF857" s="75"/>
      <c r="AG857" s="75"/>
      <c r="AH857" s="75"/>
      <c r="AI857" s="75"/>
      <c r="AJ857" s="75"/>
      <c r="AK857" s="75"/>
      <c r="AL857" s="75"/>
      <c r="AM857" s="75"/>
      <c r="AN857" s="75"/>
      <c r="AO857" s="75"/>
      <c r="AP857" s="75"/>
    </row>
    <row r="858" ht="46.5" customHeight="1">
      <c r="A858" s="1"/>
      <c r="B858" s="102" t="s">
        <v>2222</v>
      </c>
      <c r="C858" s="149" t="s">
        <v>2281</v>
      </c>
      <c r="D858" s="103" t="s">
        <v>2282</v>
      </c>
      <c r="E858" s="38"/>
      <c r="F858" s="38"/>
      <c r="G858" s="38"/>
      <c r="H858" s="39" t="s">
        <v>79</v>
      </c>
      <c r="I858" s="106" t="s">
        <v>2283</v>
      </c>
      <c r="J858" s="42" t="str">
        <f>IFERROR(__xludf.DUMMYFUNCTION("GOOGLETRANSLATE(I858,""en"",""pl"")"),"Rejestrator NVR WAVE 1U z 8 licencjami WAVE Professional zainstalowanymi fabrycznie, obsługuje: 16 kanałów z 8 portami PoE/PoE+ (budżet PoE 100 W), 2 zatoki dysków twardych (maks. 10 TB na dysk twardy), 1 dysk twardy 8 TB w zestawie")</f>
        <v>Rejestrator NVR WAVE 1U z 8 licencjami WAVE Professional zainstalowanymi fabrycznie, obsługuje: 16 kanałów z 8 portami PoE/PoE+ (budżet PoE 100 W), 2 zatoki dysków twardych (maks. 10 TB na dysk twardy), 1 dysk twardy 8 TB w zestawie</v>
      </c>
      <c r="K858" s="43" t="s">
        <v>189</v>
      </c>
      <c r="L858" s="44">
        <v>4300.0</v>
      </c>
      <c r="M858" s="8"/>
      <c r="N858" s="45" t="s">
        <v>22</v>
      </c>
      <c r="O858" s="97"/>
      <c r="P858" s="9"/>
      <c r="Q858" s="9"/>
      <c r="R858" s="59"/>
      <c r="S858" s="59"/>
      <c r="T858" s="59"/>
      <c r="U858" s="9"/>
      <c r="V858" s="9"/>
      <c r="W858" s="9"/>
      <c r="X858" s="9"/>
      <c r="Y858" s="9"/>
      <c r="Z858" s="9"/>
      <c r="AA858" s="9"/>
      <c r="AB858" s="9"/>
      <c r="AC858" s="101"/>
      <c r="AD858" s="75"/>
      <c r="AE858" s="75"/>
      <c r="AF858" s="75"/>
      <c r="AG858" s="75"/>
      <c r="AH858" s="75"/>
      <c r="AI858" s="75"/>
      <c r="AJ858" s="75"/>
      <c r="AK858" s="75"/>
      <c r="AL858" s="75"/>
      <c r="AM858" s="75"/>
      <c r="AN858" s="75"/>
      <c r="AO858" s="75"/>
      <c r="AP858" s="75"/>
    </row>
    <row r="859" ht="46.5" customHeight="1">
      <c r="A859" s="1"/>
      <c r="B859" s="102" t="s">
        <v>2222</v>
      </c>
      <c r="C859" s="149" t="s">
        <v>2284</v>
      </c>
      <c r="D859" s="103" t="s">
        <v>2285</v>
      </c>
      <c r="E859" s="38"/>
      <c r="F859" s="38"/>
      <c r="G859" s="38"/>
      <c r="H859" s="39" t="s">
        <v>79</v>
      </c>
      <c r="I859" s="106" t="s">
        <v>2286</v>
      </c>
      <c r="J859" s="42" t="str">
        <f>IFERROR(__xludf.DUMMYFUNCTION("GOOGLETRANSLATE(I859,""en"",""pl"")"),"Rejestrator NVR WAVE 1U z 16 licencjami WAVE Professional zainstalowanymi fabrycznie, obsługuje: 16 kanałów z 8 portami PoE/PoE+ (budżet PoE 100 W), 2 zatoki dysków twardych (maks. 10 TB na dysk twardy), 2 dyski twarde 8 TB w zestawie")</f>
        <v>Rejestrator NVR WAVE 1U z 16 licencjami WAVE Professional zainstalowanymi fabrycznie, obsługuje: 16 kanałów z 8 portami PoE/PoE+ (budżet PoE 100 W), 2 zatoki dysków twardych (maks. 10 TB na dysk twardy), 2 dyski twarde 8 TB w zestawie</v>
      </c>
      <c r="K859" s="43" t="s">
        <v>189</v>
      </c>
      <c r="L859" s="44">
        <v>6030.0</v>
      </c>
      <c r="M859" s="8"/>
      <c r="N859" s="45" t="s">
        <v>22</v>
      </c>
      <c r="O859" s="97"/>
      <c r="P859" s="9"/>
      <c r="Q859" s="9"/>
      <c r="R859" s="59"/>
      <c r="S859" s="59"/>
      <c r="T859" s="59"/>
      <c r="U859" s="9"/>
      <c r="V859" s="9"/>
      <c r="W859" s="9"/>
      <c r="X859" s="9"/>
      <c r="Y859" s="9"/>
      <c r="Z859" s="9"/>
      <c r="AA859" s="9"/>
      <c r="AB859" s="9"/>
      <c r="AC859" s="101"/>
      <c r="AD859" s="75"/>
      <c r="AE859" s="75"/>
      <c r="AF859" s="75"/>
      <c r="AG859" s="75"/>
      <c r="AH859" s="75"/>
      <c r="AI859" s="75"/>
      <c r="AJ859" s="75"/>
      <c r="AK859" s="75"/>
      <c r="AL859" s="75"/>
      <c r="AM859" s="75"/>
      <c r="AN859" s="75"/>
      <c r="AO859" s="75"/>
      <c r="AP859" s="75"/>
    </row>
    <row r="860" ht="46.5" customHeight="1">
      <c r="A860" s="1"/>
      <c r="B860" s="102" t="s">
        <v>2222</v>
      </c>
      <c r="C860" s="149" t="s">
        <v>2287</v>
      </c>
      <c r="D860" s="103" t="s">
        <v>2288</v>
      </c>
      <c r="E860" s="38"/>
      <c r="F860" s="38"/>
      <c r="G860" s="38"/>
      <c r="H860" s="39" t="s">
        <v>79</v>
      </c>
      <c r="I860" s="106" t="s">
        <v>2289</v>
      </c>
      <c r="J860" s="42" t="str">
        <f>IFERROR(__xludf.DUMMYFUNCTION("GOOGLETRANSLATE(I860,""en"",""pl"")"),"Rejestrator NVR WAVE 2U, obsługuje: 36 kanałów, 4 zatoki dysków twardych (maks. 10 TB na dysk twardy)")</f>
        <v>Rejestrator NVR WAVE 2U, obsługuje: 36 kanałów, 4 zatoki dysków twardych (maks. 10 TB na dysk twardy)</v>
      </c>
      <c r="K860" s="43" t="s">
        <v>189</v>
      </c>
      <c r="L860" s="44">
        <v>2500.0</v>
      </c>
      <c r="M860" s="8"/>
      <c r="N860" s="45" t="s">
        <v>22</v>
      </c>
      <c r="O860" s="97"/>
      <c r="P860" s="9"/>
      <c r="Q860" s="9"/>
      <c r="R860" s="59"/>
      <c r="S860" s="59"/>
      <c r="T860" s="59"/>
      <c r="U860" s="9"/>
      <c r="V860" s="9"/>
      <c r="W860" s="9"/>
      <c r="X860" s="9"/>
      <c r="Y860" s="9"/>
      <c r="Z860" s="9"/>
      <c r="AA860" s="9"/>
      <c r="AB860" s="9"/>
      <c r="AC860" s="101"/>
      <c r="AD860" s="75"/>
      <c r="AE860" s="75"/>
      <c r="AF860" s="75"/>
      <c r="AG860" s="75"/>
      <c r="AH860" s="75"/>
      <c r="AI860" s="75"/>
      <c r="AJ860" s="75"/>
      <c r="AK860" s="75"/>
      <c r="AL860" s="75"/>
      <c r="AM860" s="75"/>
      <c r="AN860" s="75"/>
      <c r="AO860" s="75"/>
      <c r="AP860" s="75"/>
    </row>
    <row r="861" ht="46.5" customHeight="1">
      <c r="A861" s="1"/>
      <c r="B861" s="102" t="s">
        <v>2222</v>
      </c>
      <c r="C861" s="149" t="s">
        <v>2290</v>
      </c>
      <c r="D861" s="103" t="s">
        <v>2291</v>
      </c>
      <c r="E861" s="38"/>
      <c r="F861" s="38"/>
      <c r="G861" s="38"/>
      <c r="H861" s="39" t="s">
        <v>79</v>
      </c>
      <c r="I861" s="106" t="s">
        <v>2292</v>
      </c>
      <c r="J861" s="42" t="str">
        <f>IFERROR(__xludf.DUMMYFUNCTION("GOOGLETRANSLATE(I861,""en"",""pl"")"),"Rejestrator NVR WAVE 2U z 4 zainstalowanymi licencjami WAVE Professional, obsługuje: 36 kanałów, 4 zatoki dysków twardych (maks. 10 TB na dysk twardy), 1 dysk twardy 6 TB w zestawie")</f>
        <v>Rejestrator NVR WAVE 2U z 4 zainstalowanymi licencjami WAVE Professional, obsługuje: 36 kanałów, 4 zatoki dysków twardych (maks. 10 TB na dysk twardy), 1 dysk twardy 6 TB w zestawie</v>
      </c>
      <c r="K861" s="43" t="s">
        <v>189</v>
      </c>
      <c r="L861" s="44">
        <v>3710.0</v>
      </c>
      <c r="M861" s="8"/>
      <c r="N861" s="45" t="s">
        <v>22</v>
      </c>
      <c r="O861" s="97"/>
      <c r="P861" s="9"/>
      <c r="Q861" s="9"/>
      <c r="R861" s="59"/>
      <c r="S861" s="59"/>
      <c r="T861" s="59"/>
      <c r="U861" s="9"/>
      <c r="V861" s="9"/>
      <c r="W861" s="9"/>
      <c r="X861" s="9"/>
      <c r="Y861" s="9"/>
      <c r="Z861" s="9"/>
      <c r="AA861" s="9"/>
      <c r="AB861" s="9"/>
      <c r="AC861" s="101"/>
      <c r="AD861" s="75"/>
      <c r="AE861" s="75"/>
      <c r="AF861" s="75"/>
      <c r="AG861" s="75"/>
      <c r="AH861" s="75"/>
      <c r="AI861" s="75"/>
      <c r="AJ861" s="75"/>
      <c r="AK861" s="75"/>
      <c r="AL861" s="75"/>
      <c r="AM861" s="75"/>
      <c r="AN861" s="75"/>
      <c r="AO861" s="75"/>
      <c r="AP861" s="75"/>
    </row>
    <row r="862" ht="46.5" customHeight="1">
      <c r="A862" s="1"/>
      <c r="B862" s="102" t="s">
        <v>2222</v>
      </c>
      <c r="C862" s="149" t="s">
        <v>2293</v>
      </c>
      <c r="D862" s="103" t="s">
        <v>2294</v>
      </c>
      <c r="E862" s="38"/>
      <c r="F862" s="38"/>
      <c r="G862" s="38"/>
      <c r="H862" s="39" t="s">
        <v>79</v>
      </c>
      <c r="I862" s="106" t="s">
        <v>2295</v>
      </c>
      <c r="J862" s="42" t="str">
        <f>IFERROR(__xludf.DUMMYFUNCTION("GOOGLETRANSLATE(I862,""en"",""pl"")"),"Rejestrator NVR WAVE 2U z 16 zainstalowanymi licencjami WAVE Professional, obsługuje: 36 kanałów, 4 zatoki dysków twardych (maks. 10 TB na dysk twardy), w zestawie 2 dyski twarde o pojemności 8 TB")</f>
        <v>Rejestrator NVR WAVE 2U z 16 zainstalowanymi licencjami WAVE Professional, obsługuje: 36 kanałów, 4 zatoki dysków twardych (maks. 10 TB na dysk twardy), w zestawie 2 dyski twarde o pojemności 8 TB</v>
      </c>
      <c r="K862" s="43" t="s">
        <v>189</v>
      </c>
      <c r="L862" s="44">
        <v>6240.0</v>
      </c>
      <c r="M862" s="8"/>
      <c r="N862" s="45" t="s">
        <v>22</v>
      </c>
      <c r="O862" s="97"/>
      <c r="P862" s="9"/>
      <c r="Q862" s="9"/>
      <c r="R862" s="59"/>
      <c r="S862" s="59"/>
      <c r="T862" s="59"/>
      <c r="U862" s="9"/>
      <c r="V862" s="9"/>
      <c r="W862" s="9"/>
      <c r="X862" s="9"/>
      <c r="Y862" s="9"/>
      <c r="Z862" s="9"/>
      <c r="AA862" s="9"/>
      <c r="AB862" s="9"/>
      <c r="AC862" s="101"/>
      <c r="AD862" s="75"/>
      <c r="AE862" s="75"/>
      <c r="AF862" s="75"/>
      <c r="AG862" s="75"/>
      <c r="AH862" s="75"/>
      <c r="AI862" s="75"/>
      <c r="AJ862" s="75"/>
      <c r="AK862" s="75"/>
      <c r="AL862" s="75"/>
      <c r="AM862" s="75"/>
      <c r="AN862" s="75"/>
      <c r="AO862" s="75"/>
      <c r="AP862" s="75"/>
    </row>
    <row r="863" ht="46.5" customHeight="1">
      <c r="A863" s="1"/>
      <c r="B863" s="102" t="s">
        <v>2222</v>
      </c>
      <c r="C863" s="149" t="s">
        <v>2296</v>
      </c>
      <c r="D863" s="103" t="s">
        <v>2297</v>
      </c>
      <c r="E863" s="38"/>
      <c r="F863" s="38"/>
      <c r="G863" s="38"/>
      <c r="H863" s="39" t="s">
        <v>79</v>
      </c>
      <c r="I863" s="106" t="s">
        <v>2298</v>
      </c>
      <c r="J863" s="42" t="str">
        <f>IFERROR(__xludf.DUMMYFUNCTION("GOOGLETRANSLATE(I863,""en"",""pl"")"),"Rejestrator NVR WAVE 2U z 36 zainstalowanymi licencjami WAVE Professional, obsługuje: 36 kanałów, 4 zatoki dysków twardych (maks. 10 TB na dysk twardy), w zestawie 4 dyski twarde 10 TB")</f>
        <v>Rejestrator NVR WAVE 2U z 36 zainstalowanymi licencjami WAVE Professional, obsługuje: 36 kanałów, 4 zatoki dysków twardych (maks. 10 TB na dysk twardy), w zestawie 4 dyski twarde 10 TB</v>
      </c>
      <c r="K863" s="43" t="s">
        <v>189</v>
      </c>
      <c r="L863" s="44">
        <v>11160.0</v>
      </c>
      <c r="M863" s="8"/>
      <c r="N863" s="45" t="s">
        <v>22</v>
      </c>
      <c r="O863" s="97"/>
      <c r="P863" s="9"/>
      <c r="Q863" s="9"/>
      <c r="R863" s="59"/>
      <c r="S863" s="59"/>
      <c r="T863" s="59"/>
      <c r="U863" s="9"/>
      <c r="V863" s="9"/>
      <c r="W863" s="9"/>
      <c r="X863" s="9"/>
      <c r="Y863" s="9"/>
      <c r="Z863" s="9"/>
      <c r="AA863" s="9"/>
      <c r="AB863" s="9"/>
      <c r="AC863" s="101"/>
      <c r="AD863" s="75"/>
      <c r="AE863" s="75"/>
      <c r="AF863" s="75"/>
      <c r="AG863" s="75"/>
      <c r="AH863" s="75"/>
      <c r="AI863" s="75"/>
      <c r="AJ863" s="75"/>
      <c r="AK863" s="75"/>
      <c r="AL863" s="75"/>
      <c r="AM863" s="75"/>
      <c r="AN863" s="75"/>
      <c r="AO863" s="75"/>
      <c r="AP863" s="75"/>
    </row>
    <row r="864" ht="46.5" customHeight="1">
      <c r="A864" s="1"/>
      <c r="B864" s="102" t="s">
        <v>2222</v>
      </c>
      <c r="C864" s="149" t="s">
        <v>2299</v>
      </c>
      <c r="D864" s="103" t="s">
        <v>2276</v>
      </c>
      <c r="E864" s="38"/>
      <c r="F864" s="38"/>
      <c r="G864" s="38"/>
      <c r="H864" s="39" t="s">
        <v>79</v>
      </c>
      <c r="I864" s="106" t="s">
        <v>2300</v>
      </c>
      <c r="J864" s="42" t="str">
        <f>IFERROR(__xludf.DUMMYFUNCTION("GOOGLETRANSLATE(I864,""en"",""pl"")"),"Rejestrator NVR WAVE 2U obsługuje: 36 kanałów z 16 portami PoE/PoE+ (budżet PoE 200 W), 4 zatoki dysków twardych (maks. 10 TB na dysk twardy)")</f>
        <v>Rejestrator NVR WAVE 2U obsługuje: 36 kanałów z 16 portami PoE/PoE+ (budżet PoE 200 W), 4 zatoki dysków twardych (maks. 10 TB na dysk twardy)</v>
      </c>
      <c r="K864" s="43" t="s">
        <v>189</v>
      </c>
      <c r="L864" s="44">
        <v>2800.0</v>
      </c>
      <c r="M864" s="8"/>
      <c r="N864" s="45" t="s">
        <v>22</v>
      </c>
      <c r="O864" s="97"/>
      <c r="P864" s="9"/>
      <c r="Q864" s="9"/>
      <c r="R864" s="59"/>
      <c r="S864" s="59"/>
      <c r="T864" s="59"/>
      <c r="U864" s="9"/>
      <c r="V864" s="9"/>
      <c r="W864" s="9"/>
      <c r="X864" s="9"/>
      <c r="Y864" s="9"/>
      <c r="Z864" s="9"/>
      <c r="AA864" s="9"/>
      <c r="AB864" s="9"/>
      <c r="AC864" s="101"/>
      <c r="AD864" s="75"/>
      <c r="AE864" s="75"/>
      <c r="AF864" s="75"/>
      <c r="AG864" s="75"/>
      <c r="AH864" s="75"/>
      <c r="AI864" s="75"/>
      <c r="AJ864" s="75"/>
      <c r="AK864" s="75"/>
      <c r="AL864" s="75"/>
      <c r="AM864" s="75"/>
      <c r="AN864" s="75"/>
      <c r="AO864" s="75"/>
      <c r="AP864" s="75"/>
    </row>
    <row r="865" ht="46.5" customHeight="1">
      <c r="A865" s="1"/>
      <c r="B865" s="102" t="s">
        <v>2222</v>
      </c>
      <c r="C865" s="149" t="s">
        <v>2301</v>
      </c>
      <c r="D865" s="103" t="s">
        <v>2302</v>
      </c>
      <c r="E865" s="38"/>
      <c r="F865" s="38"/>
      <c r="G865" s="38"/>
      <c r="H865" s="39" t="s">
        <v>79</v>
      </c>
      <c r="I865" s="106" t="s">
        <v>2303</v>
      </c>
      <c r="J865" s="42" t="str">
        <f>IFERROR(__xludf.DUMMYFUNCTION("GOOGLETRANSLATE(I865,""en"",""pl"")"),"Rejestrator NVR WAVE 2U z 4 licencjami WAVE Professional zainstalowanymi fabrycznie, obsługuje: 36 kanałów z 16 portami PoE/PoE+ (budżet PoE 200 W), 4 zatoki dysków twardych (maks. 10 TB na dysk twardy), 1 dysk twardy 6 TB w zestawie")</f>
        <v>Rejestrator NVR WAVE 2U z 4 licencjami WAVE Professional zainstalowanymi fabrycznie, obsługuje: 36 kanałów z 16 portami PoE/PoE+ (budżet PoE 200 W), 4 zatoki dysków twardych (maks. 10 TB na dysk twardy), 1 dysk twardy 6 TB w zestawie</v>
      </c>
      <c r="K865" s="43" t="s">
        <v>189</v>
      </c>
      <c r="L865" s="44">
        <v>4040.0</v>
      </c>
      <c r="M865" s="8"/>
      <c r="N865" s="45" t="s">
        <v>22</v>
      </c>
      <c r="O865" s="97"/>
      <c r="P865" s="9"/>
      <c r="Q865" s="9"/>
      <c r="R865" s="59"/>
      <c r="S865" s="59"/>
      <c r="T865" s="59"/>
      <c r="U865" s="9"/>
      <c r="V865" s="9"/>
      <c r="W865" s="9"/>
      <c r="X865" s="9"/>
      <c r="Y865" s="9"/>
      <c r="Z865" s="9"/>
      <c r="AA865" s="9"/>
      <c r="AB865" s="9"/>
      <c r="AC865" s="101"/>
      <c r="AD865" s="75"/>
      <c r="AE865" s="75"/>
      <c r="AF865" s="75"/>
      <c r="AG865" s="75"/>
      <c r="AH865" s="75"/>
      <c r="AI865" s="75"/>
      <c r="AJ865" s="75"/>
      <c r="AK865" s="75"/>
      <c r="AL865" s="75"/>
      <c r="AM865" s="75"/>
      <c r="AN865" s="75"/>
      <c r="AO865" s="75"/>
      <c r="AP865" s="75"/>
    </row>
    <row r="866" ht="46.5" customHeight="1">
      <c r="A866" s="1"/>
      <c r="B866" s="102" t="s">
        <v>2222</v>
      </c>
      <c r="C866" s="149" t="s">
        <v>2304</v>
      </c>
      <c r="D866" s="103" t="s">
        <v>2305</v>
      </c>
      <c r="E866" s="38"/>
      <c r="F866" s="38"/>
      <c r="G866" s="38"/>
      <c r="H866" s="39" t="s">
        <v>79</v>
      </c>
      <c r="I866" s="106" t="s">
        <v>2306</v>
      </c>
      <c r="J866" s="42" t="str">
        <f>IFERROR(__xludf.DUMMYFUNCTION("GOOGLETRANSLATE(I866,""en"",""pl"")"),"Rejestrator NVR WAVE 2U z 16 licencjami WAVE Professional zainstalowanymi fabrycznie, obsługuje: 36 kanałów z 16 portami PoE/PoE+ (budżet PoE 200 W), 4 zatoki dysków twardych (maks. 10 TB na dysk twardy), 2 dyski twarde 8 TB w zestawie")</f>
        <v>Rejestrator NVR WAVE 2U z 16 licencjami WAVE Professional zainstalowanymi fabrycznie, obsługuje: 36 kanałów z 16 portami PoE/PoE+ (budżet PoE 200 W), 4 zatoki dysków twardych (maks. 10 TB na dysk twardy), 2 dyski twarde 8 TB w zestawie</v>
      </c>
      <c r="K866" s="43" t="s">
        <v>189</v>
      </c>
      <c r="L866" s="44">
        <v>6570.0</v>
      </c>
      <c r="M866" s="8"/>
      <c r="N866" s="45" t="s">
        <v>22</v>
      </c>
      <c r="O866" s="97"/>
      <c r="P866" s="9"/>
      <c r="Q866" s="9"/>
      <c r="R866" s="59"/>
      <c r="S866" s="59"/>
      <c r="T866" s="59"/>
      <c r="U866" s="9"/>
      <c r="V866" s="9"/>
      <c r="W866" s="9"/>
      <c r="X866" s="9"/>
      <c r="Y866" s="9"/>
      <c r="Z866" s="9"/>
      <c r="AA866" s="9"/>
      <c r="AB866" s="9"/>
      <c r="AC866" s="101"/>
      <c r="AD866" s="75"/>
      <c r="AE866" s="75"/>
      <c r="AF866" s="75"/>
      <c r="AG866" s="75"/>
      <c r="AH866" s="75"/>
      <c r="AI866" s="75"/>
      <c r="AJ866" s="75"/>
      <c r="AK866" s="75"/>
      <c r="AL866" s="75"/>
      <c r="AM866" s="75"/>
      <c r="AN866" s="75"/>
      <c r="AO866" s="75"/>
      <c r="AP866" s="75"/>
    </row>
    <row r="867" ht="46.5" customHeight="1">
      <c r="A867" s="1"/>
      <c r="B867" s="102" t="s">
        <v>2222</v>
      </c>
      <c r="C867" s="149" t="s">
        <v>2307</v>
      </c>
      <c r="D867" s="39" t="s">
        <v>2308</v>
      </c>
      <c r="E867" s="38"/>
      <c r="F867" s="38"/>
      <c r="G867" s="38"/>
      <c r="H867" s="39" t="s">
        <v>79</v>
      </c>
      <c r="I867" s="106" t="s">
        <v>2309</v>
      </c>
      <c r="J867" s="42" t="str">
        <f>IFERROR(__xludf.DUMMYFUNCTION("GOOGLETRANSLATE(I867,""en"",""pl"")"),"Rejestrator NVR WAVE 2U z 36 zainstalowanymi licencjami WAVE Professional, obsługuje: 36 kanałów z 16 portami PoE/PoE+ (budżet PoE 200 W), 4 zatoki dysków twardych (maks. 10 TB na dysk twardy), 4 dyski twarde 10 TB w zestawie")</f>
        <v>Rejestrator NVR WAVE 2U z 36 zainstalowanymi licencjami WAVE Professional, obsługuje: 36 kanałów z 16 portami PoE/PoE+ (budżet PoE 200 W), 4 zatoki dysków twardych (maks. 10 TB na dysk twardy), 4 dyski twarde 10 TB w zestawie</v>
      </c>
      <c r="K867" s="43" t="s">
        <v>189</v>
      </c>
      <c r="L867" s="44">
        <v>11480.0</v>
      </c>
      <c r="M867" s="8"/>
      <c r="N867" s="45" t="s">
        <v>22</v>
      </c>
      <c r="O867" s="97"/>
      <c r="P867" s="9"/>
      <c r="Q867" s="9"/>
      <c r="R867" s="59"/>
      <c r="S867" s="59"/>
      <c r="T867" s="59"/>
      <c r="U867" s="9"/>
      <c r="V867" s="9"/>
      <c r="W867" s="9"/>
      <c r="X867" s="9"/>
      <c r="Y867" s="9"/>
      <c r="Z867" s="9"/>
      <c r="AA867" s="9"/>
      <c r="AB867" s="9"/>
      <c r="AC867" s="101"/>
      <c r="AD867" s="75"/>
      <c r="AE867" s="75"/>
      <c r="AF867" s="75"/>
      <c r="AG867" s="75"/>
      <c r="AH867" s="75"/>
      <c r="AI867" s="75"/>
      <c r="AJ867" s="75"/>
      <c r="AK867" s="75"/>
      <c r="AL867" s="75"/>
      <c r="AM867" s="75"/>
      <c r="AN867" s="75"/>
      <c r="AO867" s="75"/>
      <c r="AP867" s="75"/>
    </row>
    <row r="868" ht="30.0" customHeight="1">
      <c r="A868" s="1"/>
      <c r="B868" s="129" t="s">
        <v>2310</v>
      </c>
      <c r="C868" s="113"/>
      <c r="D868" s="113"/>
      <c r="E868" s="144"/>
      <c r="F868" s="144"/>
      <c r="G868" s="144"/>
      <c r="H868" s="94"/>
      <c r="I868" s="113"/>
      <c r="J868" s="42" t="str">
        <f>IFERROR(__xludf.DUMMYFUNCTION("GOOGLETRANSLATE(I868,""en"",""pl"")"),"#VALUE!")</f>
        <v>#VALUE!</v>
      </c>
      <c r="K868" s="144"/>
      <c r="L868" s="114"/>
      <c r="M868" s="115"/>
      <c r="N868" s="96"/>
      <c r="O868" s="146"/>
      <c r="P868" s="11"/>
      <c r="Q868" s="9"/>
      <c r="R868" s="59"/>
      <c r="S868" s="59"/>
      <c r="T868" s="59"/>
      <c r="U868" s="9"/>
      <c r="V868" s="9"/>
      <c r="W868" s="9"/>
      <c r="X868" s="9"/>
      <c r="Y868" s="9"/>
      <c r="Z868" s="9"/>
      <c r="AA868" s="9"/>
      <c r="AB868" s="9"/>
      <c r="AC868" s="60"/>
      <c r="AD868" s="61"/>
      <c r="AE868" s="61"/>
      <c r="AF868" s="61"/>
      <c r="AG868" s="61"/>
      <c r="AH868" s="61"/>
      <c r="AI868" s="61"/>
      <c r="AJ868" s="61"/>
      <c r="AK868" s="61"/>
      <c r="AL868" s="61"/>
      <c r="AM868" s="61"/>
      <c r="AN868" s="61"/>
      <c r="AO868" s="61"/>
      <c r="AP868" s="61"/>
    </row>
    <row r="869" ht="46.5" customHeight="1">
      <c r="A869" s="1"/>
      <c r="B869" s="116" t="s">
        <v>2311</v>
      </c>
      <c r="C869" s="117" t="s">
        <v>2312</v>
      </c>
      <c r="D869" s="117" t="s">
        <v>2313</v>
      </c>
      <c r="E869" s="38"/>
      <c r="F869" s="38"/>
      <c r="G869" s="38"/>
      <c r="H869" s="117" t="s">
        <v>79</v>
      </c>
      <c r="I869" s="119" t="s">
        <v>2314</v>
      </c>
      <c r="J869" s="42" t="str">
        <f>IFERROR(__xludf.DUMMYFUNCTION("GOOGLETRANSLATE(I869,""en"",""pl"")"),"Seria X zasilana przez zewnętrzną kamerę wandaloodporną Wisenet 5 z siecią IR i aplikacją AI-Intrusion-PRO oraz zainstalowaną kartą SD o pojemności 32 GB, 2 MP @60 kl./s, obiektyw stałoogniskowy 4 mm (88,6°), potrójny kodek H.265/H.264/MJPEG z WiseStream "&amp;"II, strumieniowanie wielokrotne, WDR 150 dB, True Day &amp; Night (ICR), diody LED IR o dużej mocy z widoczną długością podczerwieni 30 m, zaawansowana analiza wideo i klasyfikacja dźwięku oraz analiza biznesowa, widok z korytarza, wykrywanie ruchu, wykrywani"&amp;"e mgły, HLC, przekazywanie, cyfrowa stabilizacja obrazu, dwukierunkowy dźwięk i dwa gniazda SD/SDHC/SDXC, port USB ułatwiający instalację, IP67, IK10, Nema 4X, PoE/12 V DC")</f>
        <v>Seria X zasilana przez zewnętrzną kamerę wandaloodporną Wisenet 5 z siecią IR i aplikacją AI-Intrusion-PRO oraz zainstalowaną kartą SD o pojemności 32 GB, 2 MP @60 kl./s, obiektyw stałoogniskowy 4 mm (88,6°), potrójny kodek H.265/H.264/MJPEG z WiseStream II, strumieniowanie wielokrotne, WDR 150 dB, True Day &amp; Night (ICR), diody LED IR o dużej mocy z widoczną długością podczerwieni 30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v>
      </c>
      <c r="K869" s="38"/>
      <c r="L869" s="44">
        <v>1112.0</v>
      </c>
      <c r="M869" s="8"/>
      <c r="N869" s="45" t="s">
        <v>22</v>
      </c>
      <c r="O869" s="97"/>
      <c r="P869" s="9"/>
      <c r="Q869" s="9"/>
      <c r="R869" s="59"/>
      <c r="S869" s="59"/>
      <c r="T869" s="59"/>
      <c r="U869" s="9"/>
      <c r="V869" s="9"/>
      <c r="W869" s="9"/>
      <c r="X869" s="9"/>
      <c r="Y869" s="9"/>
      <c r="Z869" s="9"/>
      <c r="AA869" s="9"/>
      <c r="AB869" s="9"/>
      <c r="AC869" s="101"/>
      <c r="AD869" s="75"/>
      <c r="AE869" s="75"/>
      <c r="AF869" s="75"/>
      <c r="AG869" s="75"/>
      <c r="AH869" s="75"/>
      <c r="AI869" s="75"/>
      <c r="AJ869" s="75"/>
      <c r="AK869" s="75"/>
      <c r="AL869" s="75"/>
      <c r="AM869" s="75"/>
      <c r="AN869" s="75"/>
      <c r="AO869" s="75"/>
      <c r="AP869" s="75"/>
    </row>
    <row r="870" ht="46.5" customHeight="1">
      <c r="A870" s="1"/>
      <c r="B870" s="38" t="s">
        <v>2311</v>
      </c>
      <c r="C870" s="39" t="s">
        <v>2315</v>
      </c>
      <c r="D870" s="39" t="s">
        <v>2316</v>
      </c>
      <c r="E870" s="38"/>
      <c r="F870" s="38"/>
      <c r="G870" s="38"/>
      <c r="H870" s="39" t="s">
        <v>79</v>
      </c>
      <c r="I870" s="42" t="s">
        <v>2317</v>
      </c>
      <c r="J870" s="42" t="str">
        <f>IFERROR(__xludf.DUMMYFUNCTION("GOOGLETRANSLATE(I870,""en"",""pl"")"),"Zewnętrzna kamera termowizyjna sieciowa typu bullet z aplikacją AI-Intrusion-PRO i zainstalowaną kartą SD o pojemności 32 GB, VGA przy 30 kl./s, obiektyw stałoogniskowy 13 mm (48,6°), potrójny kodek H.265/H.264/MJPEG z funkcją WiseStream II, strumieniowan"&amp;"ie wielokrotne, widok korytarza, wykrywanie ruchu, wykrywanie manipulacji, przekazywanie, 7 palet kolorów, cyfrowa stabilizacja obrazu z wbudowanym czujnikiem żyroskopowym, dwukierunkowy dźwięk i gniazdo microSD/SDHC/SDXC, IP66, IK10, Nema 4X, PoE/12 V DC"&amp;"/24 V AC")</f>
        <v>Zewnętrzna kamera termowizyjna sieciowa typu bullet z aplikacją AI-Intrusion-PRO i zainstalowaną kartą SD o pojemności 32 GB, VGA przy 30 kl./s, obiektyw stałoogniskowy 13 mm (48,6°), potrójny kodek H.265/H.264/MJPEG z funkcją WiseStream II, strumieniowanie wielokrotne, widok korytarza, wykrywanie ruchu, wykrywanie manipulacji, przekazywanie, 7 palet kolorów, cyfrowa stabilizacja obrazu z wbudowanym czujnikiem żyroskopowym, dwukierunkowy dźwięk i gniazdo microSD/SDHC/SDXC, IP66, IK10, Nema 4X, PoE/12 V DC/24 V AC</v>
      </c>
      <c r="K870" s="38"/>
      <c r="L870" s="44">
        <v>7500.0</v>
      </c>
      <c r="M870" s="8"/>
      <c r="N870" s="45" t="s">
        <v>22</v>
      </c>
      <c r="O870" s="97"/>
      <c r="P870" s="11"/>
      <c r="Q870" s="9"/>
      <c r="R870" s="59"/>
      <c r="S870" s="59"/>
      <c r="T870" s="59"/>
      <c r="U870" s="9"/>
      <c r="V870" s="9"/>
      <c r="W870" s="9"/>
      <c r="X870" s="9"/>
      <c r="Y870" s="9"/>
      <c r="Z870" s="9"/>
      <c r="AA870" s="9"/>
      <c r="AB870" s="9"/>
      <c r="AC870" s="60"/>
      <c r="AD870" s="61"/>
      <c r="AE870" s="61"/>
      <c r="AF870" s="61"/>
      <c r="AG870" s="61"/>
      <c r="AH870" s="61"/>
      <c r="AI870" s="61"/>
      <c r="AJ870" s="61"/>
      <c r="AK870" s="61"/>
      <c r="AL870" s="61"/>
      <c r="AM870" s="61"/>
      <c r="AN870" s="61"/>
      <c r="AO870" s="61"/>
      <c r="AP870" s="61"/>
    </row>
    <row r="871" ht="46.5" customHeight="1">
      <c r="A871" s="1"/>
      <c r="B871" s="38" t="s">
        <v>2311</v>
      </c>
      <c r="C871" s="39" t="s">
        <v>2318</v>
      </c>
      <c r="D871" s="39" t="s">
        <v>2316</v>
      </c>
      <c r="E871" s="38"/>
      <c r="F871" s="38"/>
      <c r="G871" s="38"/>
      <c r="H871" s="39" t="s">
        <v>79</v>
      </c>
      <c r="I871" s="42" t="s">
        <v>2319</v>
      </c>
      <c r="J871" s="42" t="str">
        <f>IFERROR(__xludf.DUMMYFUNCTION("GOOGLETRANSLATE(I871,""en"",""pl"")"),"Zewnętrzna kamera termowizyjna typu bullet z serii T z aplikacją AI-Intrusion-PRO i zainstalowaną kartą SD o pojemności 32 GB, VGA przy 30 kl./s, obiektyw stałoogniskowy 19 mm (32°), potrójny kodek H.265/H.264/MJPEG z funkcją WiseStream II, strumieniowani"&amp;"e wielokrotne, widok korytarzowy, wykrywanie ruchu, wykrywanie manipulacji, przekazywanie, 7 palet kolorów, cyfrowa stabilizacja obrazu z wbudowanym czujnikiem żyroskopowym, dwukierunkowy dźwięk i gniazdo microSD/SDHC/SDXC, IP66, IK10, Nema 4X, PoE/12 V D"&amp;"C/24 V AC")</f>
        <v>Zewnętrzna kamera termowizyjna typu bullet z serii T z aplikacją AI-Intrusion-PRO i zainstalowaną kartą SD o pojemności 32 GB, VGA przy 30 kl./s, obiektyw stałoogniskowy 19 mm (32°), potrójny kodek H.265/H.264/MJPEG z funkcją WiseStream II, strumieniowanie wielokrotne, widok korytarzowy, wykrywanie ruchu, wykrywanie manipulacji, przekazywanie, 7 palet kolorów, cyfrowa stabilizacja obrazu z wbudowanym czujnikiem żyroskopowym, dwukierunkowy dźwięk i gniazdo microSD/SDHC/SDXC, IP66, IK10, Nema 4X, PoE/12 V DC/24 V AC</v>
      </c>
      <c r="K871" s="38"/>
      <c r="L871" s="44">
        <v>7500.0</v>
      </c>
      <c r="M871" s="8"/>
      <c r="N871" s="45" t="s">
        <v>22</v>
      </c>
      <c r="O871" s="97"/>
      <c r="P871" s="11"/>
      <c r="Q871" s="9"/>
      <c r="R871" s="59"/>
      <c r="S871" s="59"/>
      <c r="T871" s="59"/>
      <c r="U871" s="9"/>
      <c r="V871" s="9"/>
      <c r="W871" s="9"/>
      <c r="X871" s="9"/>
      <c r="Y871" s="9"/>
      <c r="Z871" s="9"/>
      <c r="AA871" s="9"/>
      <c r="AB871" s="9"/>
      <c r="AC871" s="60"/>
      <c r="AD871" s="61"/>
      <c r="AE871" s="61"/>
      <c r="AF871" s="61"/>
      <c r="AG871" s="61"/>
      <c r="AH871" s="61"/>
      <c r="AI871" s="61"/>
      <c r="AJ871" s="61"/>
      <c r="AK871" s="61"/>
      <c r="AL871" s="61"/>
      <c r="AM871" s="61"/>
      <c r="AN871" s="61"/>
      <c r="AO871" s="61"/>
      <c r="AP871" s="61"/>
    </row>
    <row r="872" ht="46.5" customHeight="1">
      <c r="A872" s="1"/>
      <c r="B872" s="38" t="s">
        <v>2311</v>
      </c>
      <c r="C872" s="39" t="s">
        <v>2320</v>
      </c>
      <c r="D872" s="39" t="s">
        <v>2316</v>
      </c>
      <c r="E872" s="38"/>
      <c r="F872" s="38"/>
      <c r="G872" s="38"/>
      <c r="H872" s="39" t="s">
        <v>79</v>
      </c>
      <c r="I872" s="42" t="s">
        <v>2321</v>
      </c>
      <c r="J872" s="42" t="str">
        <f>IFERROR(__xludf.DUMMYFUNCTION("GOOGLETRANSLATE(I872,""en"",""pl"")"),"Zewnętrzna kamera termowizyjna sieciowa typu bullet z aplikacją AI-Intrusion-PRO i zainstalowaną kartą SD o pojemności 32 GB, VGA przy 30 kl./s, obiektyw stałoogniskowy 35 mm (17,2°), potrójny kodek H.265/H.264/MJPEG z funkcją WiseStream II, strumieniowan"&amp;"ie wielokrotne, widok korytarza, wykrywanie ruchu, wykrywanie manipulacji, przekazywanie, 7 palet kolorów, cyfrowa stabilizacja obrazu z wbudowanym czujnikiem żyroskopowym, dwukierunkowy dźwięk i gniazdo microSD/SDHC/SDXC, IP66, IK10, Nema 4X, PoE/12 V DC"&amp;"/24 V AC")</f>
        <v>Zewnętrzna kamera termowizyjna sieciowa typu bullet z aplikacją AI-Intrusion-PRO i zainstalowaną kartą SD o pojemności 32 GB, VGA przy 30 kl./s, obiektyw stałoogniskowy 35 mm (17,2°), potrójny kodek H.265/H.264/MJPEG z funkcją WiseStream II, strumieniowanie wielokrotne, widok korytarza, wykrywanie ruchu, wykrywanie manipulacji, przekazywanie, 7 palet kolorów, cyfrowa stabilizacja obrazu z wbudowanym czujnikiem żyroskopowym, dwukierunkowy dźwięk i gniazdo microSD/SDHC/SDXC, IP66, IK10, Nema 4X, PoE/12 V DC/24 V AC</v>
      </c>
      <c r="K872" s="38"/>
      <c r="L872" s="44">
        <v>8900.0</v>
      </c>
      <c r="M872" s="8"/>
      <c r="N872" s="45" t="s">
        <v>22</v>
      </c>
      <c r="O872" s="97"/>
      <c r="P872" s="11"/>
      <c r="Q872" s="9"/>
      <c r="R872" s="59"/>
      <c r="S872" s="59"/>
      <c r="T872" s="59"/>
      <c r="U872" s="9"/>
      <c r="V872" s="9"/>
      <c r="W872" s="9"/>
      <c r="X872" s="9"/>
      <c r="Y872" s="9"/>
      <c r="Z872" s="9"/>
      <c r="AA872" s="9"/>
      <c r="AB872" s="9"/>
      <c r="AC872" s="60"/>
      <c r="AD872" s="61"/>
      <c r="AE872" s="61"/>
      <c r="AF872" s="61"/>
      <c r="AG872" s="61"/>
      <c r="AH872" s="61"/>
      <c r="AI872" s="61"/>
      <c r="AJ872" s="61"/>
      <c r="AK872" s="61"/>
      <c r="AL872" s="61"/>
      <c r="AM872" s="61"/>
      <c r="AN872" s="61"/>
      <c r="AO872" s="61"/>
      <c r="AP872" s="61"/>
    </row>
    <row r="873" ht="46.5" customHeight="1">
      <c r="A873" s="1"/>
      <c r="B873" s="38" t="s">
        <v>2311</v>
      </c>
      <c r="C873" s="39" t="s">
        <v>2322</v>
      </c>
      <c r="D873" s="39" t="s">
        <v>2313</v>
      </c>
      <c r="E873" s="38"/>
      <c r="F873" s="38"/>
      <c r="G873" s="38"/>
      <c r="H873" s="39" t="s">
        <v>79</v>
      </c>
      <c r="I873" s="42" t="s">
        <v>2323</v>
      </c>
      <c r="J873" s="42" t="str">
        <f>IFERROR(__xludf.DUMMYFUNCTION("GOOGLETRANSLATE(I873,""en"",""pl"")"),"Seria X zasilana przez zewnętrzną kamerę wandaloodporną typu bullet z siecią Wisenet 5 IR, aplikacją AI-Intrusion-PRO i zainstalowaną kartą SD o pojemności 32 GB, 2 MP @60 kl./s, obiektyw zmiennoogniskowy 2,8 ~ 12,0 mm z napędem silnikowym (4,3x) (119,5°~"&amp;"27,9°), potrójny kodek H.265/H.264/MJPEG z WiseStream II, strumieniowanie wielokrotne, WDR 150 dB, True Day &amp; Night (ICR), diody LED IR o dużej mocy z widoczną długością podczerwieni 50 m, zaawansowana analiza wideo i klasyfikacja dźwięku oraz analiza biz"&amp;"nesowa, widok z korytarza, wykrywanie ruchu, wykrywanie mgły, HLC, przekazywanie, cyfrowa stabilizacja obrazu, dwukierunkowy dźwięk i dwa gniazda SD/SDHC/SDXC, port USB ułatwiający instalację, IP67, IK10, Nema 4X, PoE/12 V DC/24 V AC")</f>
        <v>Seria X zasilana przez zewnętrzną kamerę wandaloodporną typu bullet z siecią Wisenet 5 IR, aplikacją AI-Intrusion-PRO i zainstalowaną kartą SD o pojemności 32 GB, 2 MP @60 kl./s, obiektyw zmiennoogniskowy 2,8 ~ 12,0 mm z napędem silnikowym (4,3x) (119,5°~27,9°), potrójny kodek H.265/H.264/MJPEG z WiseStream II, strumieniowanie wielokrotne, WDR 150 dB, True Day &amp; Night (ICR), diody LED IR o dużej mocy z widoczną długością podczerwieni 50 m, zaawansowana analiza wideo i klasyfikacja dźwięku oraz analiza biznesowa, widok z korytarza, wykrywanie ruchu, wykrywanie mgły, HLC, przekazywanie, cyfrowa stabilizacja obrazu, dwukierunkowy dźwięk i dwa gniazda SD/SDHC/SDXC, port USB ułatwiający instalację, IP67, IK10, Nema 4X, PoE/12 V DC/24 V AC</v>
      </c>
      <c r="K873" s="38"/>
      <c r="L873" s="44">
        <v>1458.0</v>
      </c>
      <c r="M873" s="8"/>
      <c r="N873" s="45" t="s">
        <v>22</v>
      </c>
      <c r="O873" s="97"/>
      <c r="P873" s="9"/>
      <c r="Q873" s="9"/>
      <c r="R873" s="59"/>
      <c r="S873" s="59"/>
      <c r="T873" s="59"/>
      <c r="U873" s="9"/>
      <c r="V873" s="9"/>
      <c r="W873" s="9"/>
      <c r="X873" s="9"/>
      <c r="Y873" s="9"/>
      <c r="Z873" s="9"/>
      <c r="AA873" s="9"/>
      <c r="AB873" s="9"/>
      <c r="AC873" s="101"/>
      <c r="AD873" s="75"/>
      <c r="AE873" s="75"/>
      <c r="AF873" s="75"/>
      <c r="AG873" s="75"/>
      <c r="AH873" s="75"/>
      <c r="AI873" s="75"/>
      <c r="AJ873" s="75"/>
      <c r="AK873" s="75"/>
      <c r="AL873" s="75"/>
      <c r="AM873" s="75"/>
      <c r="AN873" s="75"/>
      <c r="AO873" s="75"/>
      <c r="AP873" s="75"/>
    </row>
    <row r="874" ht="46.5" customHeight="1">
      <c r="A874" s="1"/>
      <c r="B874" s="102" t="s">
        <v>2119</v>
      </c>
      <c r="C874" s="103" t="s">
        <v>2324</v>
      </c>
      <c r="D874" s="104" t="s">
        <v>2325</v>
      </c>
      <c r="E874" s="38"/>
      <c r="F874" s="38"/>
      <c r="G874" s="38"/>
      <c r="H874" s="103" t="s">
        <v>170</v>
      </c>
      <c r="I874" s="150" t="s">
        <v>2326</v>
      </c>
      <c r="J874" s="42" t="str">
        <f>IFERROR(__xludf.DUMMYFUNCTION("GOOGLETRANSLATE(I874,""en"",""pl"")"),"AI Tech AIT-PPE-1CH to oparta na technologii edge analityka do wykrywania osób bez osobistego sprzętu ochronnego, dostępna dla kasków i kamizelek. Opcjonalny, wbudowany panel wymaga karty SD o pojemności 4 GB lub więcej (sprzedawanej oddzielnie). Zalecane"&amp;" kamery: PNV-A6081R, PND-A6081RV, PNO-A6081R, dostępne są również inne modele. Prosimy o kontakt z lokalnym przedstawicielem handlowym Hanwha. Obejmuje plan rozwoju oprogramowania na pierwszy rok. Zalecane są pakiety wsparcia: AIT-CONF-APP i AIT-OPTIM-APP"&amp;".")</f>
        <v>AI Tech AIT-PPE-1CH to oparta na technologii edge analityka do wykrywania osób bez osobistego sprzętu ochronnego, dostępna dla kasków i kamizelek. Opcjonalny, wbudowany panel wymaga karty SD o pojemności 4 GB lub więcej (sprzedawanej oddzielnie). Zalecane kamery: PNV-A6081R, PND-A6081RV, PNO-A6081R, dostępne są również inne modele. Prosimy o kontakt z lokalnym przedstawicielem handlowym Hanwha. Obejmuje plan rozwoju oprogramowania na pierwszy rok. Zalecane są pakiety wsparcia: AIT-CONF-APP i AIT-OPTIM-APP.</v>
      </c>
      <c r="K874" s="38"/>
      <c r="L874" s="44">
        <v>675.0</v>
      </c>
      <c r="M874" s="8"/>
      <c r="N874" s="45" t="s">
        <v>22</v>
      </c>
      <c r="O874" s="97"/>
      <c r="P874" s="11"/>
      <c r="Q874" s="9"/>
      <c r="R874" s="59"/>
      <c r="S874" s="59"/>
      <c r="T874" s="59"/>
      <c r="U874" s="9"/>
      <c r="V874" s="9"/>
      <c r="W874" s="9"/>
      <c r="X874" s="9"/>
      <c r="Y874" s="9"/>
      <c r="Z874" s="9"/>
      <c r="AA874" s="9"/>
      <c r="AB874" s="9"/>
      <c r="AC874" s="60"/>
      <c r="AD874" s="61"/>
      <c r="AE874" s="61"/>
      <c r="AF874" s="61"/>
      <c r="AG874" s="61"/>
      <c r="AH874" s="61"/>
      <c r="AI874" s="61"/>
      <c r="AJ874" s="61"/>
      <c r="AK874" s="61"/>
      <c r="AL874" s="61"/>
      <c r="AM874" s="61"/>
      <c r="AN874" s="61"/>
      <c r="AO874" s="61"/>
      <c r="AP874" s="61"/>
    </row>
    <row r="875" ht="46.5" customHeight="1">
      <c r="A875" s="1"/>
      <c r="B875" s="102" t="s">
        <v>2119</v>
      </c>
      <c r="C875" s="103" t="s">
        <v>2327</v>
      </c>
      <c r="D875" s="104" t="s">
        <v>2328</v>
      </c>
      <c r="E875" s="38"/>
      <c r="F875" s="38"/>
      <c r="G875" s="38"/>
      <c r="H875" s="103" t="s">
        <v>170</v>
      </c>
      <c r="I875" s="150" t="s">
        <v>2329</v>
      </c>
      <c r="J875" s="42" t="str">
        <f>IFERROR(__xludf.DUMMYFUNCTION("GOOGLETRANSLATE(I875,""en"",""pl"")"),"AI Tech AIT-INTRUSION-1CH to oparta na krawędzi sieci analityka do wykrywania wtargnięć i intruzów z wykorzystaniem nieograniczonej liczby wirtualnych linii lub obszarów z filtrowaniem obiektów (osób/zwierząt/pojazdów). Opcjonalny, wbudowany panel wymaga "&amp;"karty SD o pojemności 4 GB lub więcej (sprzedawanej oddzielnie). Zalecane kamery: TNO-3010T/3020T/3030T/3040T/3050T/4030T/4040T/4050T/L3030T/L4030T/L4030TR, PNO-A6081R, PNV-A6081R, XNO-C6083R/6123R/6080R/6120R, XNV-C6083R/6123R/6080R/6120R. Dostępne są ró"&amp;"wnież inne modele. Prosimy o kontakt z lokalnym przedstawicielem handlowym Hanwha. Obejmuje plan rozwoju oprogramowania na pierwszy rok. Zalecane są pakiety wsparcia AIT-CONF-APP i AIT-OPTIM-APP")</f>
        <v>AI Tech AIT-INTRUSION-1CH to oparta na krawędzi sieci analityka do wykrywania wtargnięć i intruzów z wykorzystaniem nieograniczonej liczby wirtualnych linii lub obszarów z filtrowaniem obiektów (osób/zwierząt/pojazdów). Opcjonalny, wbudowany panel wymaga karty SD o pojemności 4 GB lub więcej (sprzedawanej oddzielnie). Zalecane kamery: TNO-3010T/3020T/3030T/3040T/3050T/4030T/4040T/4050T/L3030T/L4030T/L4030TR, PNO-A6081R, PNV-A6081R, XNO-C6083R/6123R/6080R/6120R, XNV-C6083R/6123R/6080R/6120R. Dostępne są również inne modele. Prosimy o kontakt z lokalnym przedstawicielem handlowym Hanwha. Obejmuje plan rozwoju oprogramowania na pierwszy rok. Zalecane są pakiety wsparcia AIT-CONF-APP i AIT-OPTIM-APP</v>
      </c>
      <c r="K875" s="38"/>
      <c r="L875" s="44">
        <v>507.0</v>
      </c>
      <c r="M875" s="8"/>
      <c r="N875" s="45" t="s">
        <v>22</v>
      </c>
      <c r="O875" s="97"/>
      <c r="P875" s="11"/>
      <c r="Q875" s="9"/>
      <c r="R875" s="59"/>
      <c r="S875" s="59"/>
      <c r="T875" s="59"/>
      <c r="U875" s="9"/>
      <c r="V875" s="9"/>
      <c r="W875" s="9"/>
      <c r="X875" s="9"/>
      <c r="Y875" s="9"/>
      <c r="Z875" s="9"/>
      <c r="AA875" s="9"/>
      <c r="AB875" s="9"/>
      <c r="AC875" s="60"/>
      <c r="AD875" s="61"/>
      <c r="AE875" s="61"/>
      <c r="AF875" s="61"/>
      <c r="AG875" s="61"/>
      <c r="AH875" s="61"/>
      <c r="AI875" s="61"/>
      <c r="AJ875" s="61"/>
      <c r="AK875" s="61"/>
      <c r="AL875" s="61"/>
      <c r="AM875" s="61"/>
      <c r="AN875" s="61"/>
      <c r="AO875" s="61"/>
      <c r="AP875" s="61"/>
    </row>
    <row r="876" ht="46.5" customHeight="1">
      <c r="A876" s="1"/>
      <c r="B876" s="102" t="s">
        <v>2119</v>
      </c>
      <c r="C876" s="103" t="s">
        <v>2330</v>
      </c>
      <c r="D876" s="104" t="s">
        <v>2331</v>
      </c>
      <c r="E876" s="38"/>
      <c r="F876" s="38"/>
      <c r="G876" s="38"/>
      <c r="H876" s="103" t="s">
        <v>170</v>
      </c>
      <c r="I876" s="150" t="s">
        <v>2332</v>
      </c>
      <c r="J876" s="42" t="str">
        <f>IFERROR(__xludf.DUMMYFUNCTION("GOOGLETRANSLATE(I876,""en"",""pl"")"),"AI Tech AIT-LOST-1CH to oparta na krawędzi sieci analityka do wykrywania porzuconych/usuniętych obiektów z klasyfikacją bagażu/śmieci. Opcjonalny, wbudowany panel wymaga karty SD o pojemności 4 GB lub więcej (sprzedawanej oddzielnie). Zalecane kamery: PNO"&amp;"-A6081R, PNV-A6081R, XNO-C6083R, XNV-C6083R, dostępne są inne modele. Prosimy o kontakt z lokalnym przedstawicielem handlowym Hanwha. Obejmuje plan rozwoju oprogramowania na pierwszy rok. Zalecane są pakiety wsparcia: AIT-CONF-APP i AIT-OPTIM-APP.")</f>
        <v>AI Tech AIT-LOST-1CH to oparta na krawędzi sieci analityka do wykrywania porzuconych/usuniętych obiektów z klasyfikacją bagażu/śmieci. Opcjonalny, wbudowany panel wymaga karty SD o pojemności 4 GB lub więcej (sprzedawanej oddzielnie). Zalecane kamery: PNO-A6081R, PNV-A6081R, XNO-C6083R, XNV-C6083R, dostępne są inne modele. Prosimy o kontakt z lokalnym przedstawicielem handlowym Hanwha. Obejmuje plan rozwoju oprogramowania na pierwszy rok. Zalecane są pakiety wsparcia: AIT-CONF-APP i AIT-OPTIM-APP.</v>
      </c>
      <c r="K876" s="38"/>
      <c r="L876" s="44">
        <v>507.0</v>
      </c>
      <c r="M876" s="8"/>
      <c r="N876" s="45" t="s">
        <v>22</v>
      </c>
      <c r="O876" s="97"/>
      <c r="P876" s="11"/>
      <c r="Q876" s="9"/>
      <c r="R876" s="59"/>
      <c r="S876" s="59"/>
      <c r="T876" s="59"/>
      <c r="U876" s="9"/>
      <c r="V876" s="9"/>
      <c r="W876" s="9"/>
      <c r="X876" s="9"/>
      <c r="Y876" s="9"/>
      <c r="Z876" s="9"/>
      <c r="AA876" s="9"/>
      <c r="AB876" s="9"/>
      <c r="AC876" s="60"/>
      <c r="AD876" s="61"/>
      <c r="AE876" s="61"/>
      <c r="AF876" s="61"/>
      <c r="AG876" s="61"/>
      <c r="AH876" s="61"/>
      <c r="AI876" s="61"/>
      <c r="AJ876" s="61"/>
      <c r="AK876" s="61"/>
      <c r="AL876" s="61"/>
      <c r="AM876" s="61"/>
      <c r="AN876" s="61"/>
      <c r="AO876" s="61"/>
      <c r="AP876" s="61"/>
    </row>
    <row r="877" ht="46.5" customHeight="1">
      <c r="A877" s="1"/>
      <c r="B877" s="102" t="s">
        <v>2119</v>
      </c>
      <c r="C877" s="103" t="s">
        <v>2333</v>
      </c>
      <c r="D877" s="104" t="s">
        <v>2334</v>
      </c>
      <c r="E877" s="38"/>
      <c r="F877" s="38"/>
      <c r="G877" s="38"/>
      <c r="H877" s="103" t="s">
        <v>170</v>
      </c>
      <c r="I877" s="150" t="s">
        <v>2335</v>
      </c>
      <c r="J877" s="42" t="str">
        <f>IFERROR(__xludf.DUMMYFUNCTION("GOOGLETRANSLATE(I877,""en"",""pl"")"),"AI Tech AIT-DASH-PRO-1CH to serwerowy pulpit nawigacyjny w wersji Professional. Agreguje zdarzenia z wielu urządzeń/lokalizacji, zarządza wieloma użytkownikami, automatycznie raportuje, integruje zaawansowane funkcje (POS/OpenAPI przez HTTP), wizualizuje "&amp;"mapy cieplne i udostępnia usługi pogodowe na żywo. Obejmuje plan rozwoju oprogramowania na pierwszy rok. Zalecane są pakiety wsparcia AIT-CONF-DASH.")</f>
        <v>AI Tech AIT-DASH-PRO-1CH to serwerowy pulpit nawigacyjny w wersji Professional. Agreguje zdarzenia z wielu urządzeń/lokalizacji, zarządza wieloma użytkownikami, automatycznie raportuje, integruje zaawansowane funkcje (POS/OpenAPI przez HTTP), wizualizuje mapy cieplne i udostępnia usługi pogodowe na żywo. Obejmuje plan rozwoju oprogramowania na pierwszy rok. Zalecane są pakiety wsparcia AIT-CONF-DASH.</v>
      </c>
      <c r="K877" s="38"/>
      <c r="L877" s="44">
        <v>338.0</v>
      </c>
      <c r="M877" s="8"/>
      <c r="N877" s="45" t="s">
        <v>22</v>
      </c>
      <c r="O877" s="97"/>
      <c r="P877" s="11"/>
      <c r="Q877" s="9"/>
      <c r="R877" s="59"/>
      <c r="S877" s="59"/>
      <c r="T877" s="59"/>
      <c r="U877" s="9"/>
      <c r="V877" s="9"/>
      <c r="W877" s="9"/>
      <c r="X877" s="9"/>
      <c r="Y877" s="9"/>
      <c r="Z877" s="9"/>
      <c r="AA877" s="9"/>
      <c r="AB877" s="9"/>
      <c r="AC877" s="60"/>
      <c r="AD877" s="61"/>
      <c r="AE877" s="61"/>
      <c r="AF877" s="61"/>
      <c r="AG877" s="61"/>
      <c r="AH877" s="61"/>
      <c r="AI877" s="61"/>
      <c r="AJ877" s="61"/>
      <c r="AK877" s="61"/>
      <c r="AL877" s="61"/>
      <c r="AM877" s="61"/>
      <c r="AN877" s="61"/>
      <c r="AO877" s="61"/>
      <c r="AP877" s="61"/>
    </row>
    <row r="878" ht="46.5" customHeight="1">
      <c r="A878" s="1"/>
      <c r="B878" s="102" t="s">
        <v>2336</v>
      </c>
      <c r="C878" s="103" t="s">
        <v>2337</v>
      </c>
      <c r="D878" s="104" t="s">
        <v>2338</v>
      </c>
      <c r="E878" s="38"/>
      <c r="F878" s="38"/>
      <c r="G878" s="38"/>
      <c r="H878" s="103" t="s">
        <v>170</v>
      </c>
      <c r="I878" s="150" t="s">
        <v>2339</v>
      </c>
      <c r="J878" s="42" t="str">
        <f>IFERROR(__xludf.DUMMYFUNCTION("GOOGLETRANSLATE(I878,""en"",""pl"")"),"AIT-SUP-12T to 12 biletów na zdalne wsparcie realizowane przez personel AI Tech. Każdy bilet uprawnia do otrzymania wsparcia przez maksymalnie 30 minut nieprzerwanie. Bilety należy wykorzystać w ciągu 12 miesięcy od dnia zakupu. Wymagany jest zdalny dostę"&amp;"p do systemu.")</f>
        <v>AIT-SUP-12T to 12 biletów na zdalne wsparcie realizowane przez personel AI Tech. Każdy bilet uprawnia do otrzymania wsparcia przez maksymalnie 30 minut nieprzerwanie. Bilety należy wykorzystać w ciągu 12 miesięcy od dnia zakupu. Wymagany jest zdalny dostęp do systemu.</v>
      </c>
      <c r="K878" s="38"/>
      <c r="L878" s="44">
        <v>880.0</v>
      </c>
      <c r="M878" s="8"/>
      <c r="N878" s="45" t="s">
        <v>22</v>
      </c>
      <c r="O878" s="97"/>
      <c r="P878" s="11"/>
      <c r="Q878" s="9"/>
      <c r="R878" s="59"/>
      <c r="S878" s="59"/>
      <c r="T878" s="59"/>
      <c r="U878" s="9"/>
      <c r="V878" s="9"/>
      <c r="W878" s="9"/>
      <c r="X878" s="9"/>
      <c r="Y878" s="9"/>
      <c r="Z878" s="9"/>
      <c r="AA878" s="9"/>
      <c r="AB878" s="9"/>
      <c r="AC878" s="60"/>
      <c r="AD878" s="61"/>
      <c r="AE878" s="61"/>
      <c r="AF878" s="61"/>
      <c r="AG878" s="61"/>
      <c r="AH878" s="61"/>
      <c r="AI878" s="61"/>
      <c r="AJ878" s="61"/>
      <c r="AK878" s="61"/>
      <c r="AL878" s="61"/>
      <c r="AM878" s="61"/>
      <c r="AN878" s="61"/>
      <c r="AO878" s="61"/>
      <c r="AP878" s="61"/>
    </row>
    <row r="879" ht="46.5" customHeight="1">
      <c r="A879" s="1"/>
      <c r="B879" s="102" t="s">
        <v>2336</v>
      </c>
      <c r="C879" s="103" t="s">
        <v>2340</v>
      </c>
      <c r="D879" s="104" t="s">
        <v>2341</v>
      </c>
      <c r="E879" s="38"/>
      <c r="F879" s="38"/>
      <c r="G879" s="38"/>
      <c r="H879" s="103" t="s">
        <v>170</v>
      </c>
      <c r="I879" s="150" t="s">
        <v>2342</v>
      </c>
      <c r="J879" s="42" t="str">
        <f>IFERROR(__xludf.DUMMYFUNCTION("GOOGLETRANSLATE(I879,""en"",""pl"")"),"AIT-SUP-24T to 24 bilety na zdalne wsparcie realizowane przez personel AI Tech. Każdy bilet uprawnia do otrzymania wsparcia przez maksymalnie 30 minut nieprzerwanie. Bilety należy wykorzystać w ciągu 12 miesięcy od dnia zakupu. Wymagany jest zdalny dostęp"&amp;" do systemu.")</f>
        <v>AIT-SUP-24T to 24 bilety na zdalne wsparcie realizowane przez personel AI Tech. Każdy bilet uprawnia do otrzymania wsparcia przez maksymalnie 30 minut nieprzerwanie. Bilety należy wykorzystać w ciągu 12 miesięcy od dnia zakupu. Wymagany jest zdalny dostęp do systemu.</v>
      </c>
      <c r="K879" s="38"/>
      <c r="L879" s="44">
        <v>1408.0</v>
      </c>
      <c r="M879" s="8"/>
      <c r="N879" s="45" t="s">
        <v>22</v>
      </c>
      <c r="O879" s="97"/>
      <c r="P879" s="11"/>
      <c r="Q879" s="9"/>
      <c r="R879" s="59"/>
      <c r="S879" s="59"/>
      <c r="T879" s="59"/>
      <c r="U879" s="9"/>
      <c r="V879" s="9"/>
      <c r="W879" s="9"/>
      <c r="X879" s="9"/>
      <c r="Y879" s="9"/>
      <c r="Z879" s="9"/>
      <c r="AA879" s="9"/>
      <c r="AB879" s="9"/>
      <c r="AC879" s="60"/>
      <c r="AD879" s="61"/>
      <c r="AE879" s="61"/>
      <c r="AF879" s="61"/>
      <c r="AG879" s="61"/>
      <c r="AH879" s="61"/>
      <c r="AI879" s="61"/>
      <c r="AJ879" s="61"/>
      <c r="AK879" s="61"/>
      <c r="AL879" s="61"/>
      <c r="AM879" s="61"/>
      <c r="AN879" s="61"/>
      <c r="AO879" s="61"/>
      <c r="AP879" s="61"/>
    </row>
    <row r="880" ht="46.5" customHeight="1">
      <c r="A880" s="1"/>
      <c r="B880" s="102" t="s">
        <v>2336</v>
      </c>
      <c r="C880" s="103" t="s">
        <v>2343</v>
      </c>
      <c r="D880" s="104" t="s">
        <v>2344</v>
      </c>
      <c r="E880" s="38"/>
      <c r="F880" s="38"/>
      <c r="G880" s="38"/>
      <c r="H880" s="103" t="s">
        <v>170</v>
      </c>
      <c r="I880" s="150" t="s">
        <v>2345</v>
      </c>
      <c r="J880" s="42" t="str">
        <f>IFERROR(__xludf.DUMMYFUNCTION("GOOGLETRANSLATE(I880,""en"",""pl"")"),"AIT-SUP-HR to stawka godzinowa za zdalne wsparcie realizowane przez personel AI Tech. Wymagany jest zdalny dostęp do systemu.")</f>
        <v>AIT-SUP-HR to stawka godzinowa za zdalne wsparcie realizowane przez personel AI Tech. Wymagany jest zdalny dostęp do systemu.</v>
      </c>
      <c r="K880" s="38"/>
      <c r="L880" s="44">
        <v>176.0</v>
      </c>
      <c r="M880" s="8"/>
      <c r="N880" s="45" t="s">
        <v>22</v>
      </c>
      <c r="O880" s="97"/>
      <c r="P880" s="11"/>
      <c r="Q880" s="9"/>
      <c r="R880" s="59"/>
      <c r="S880" s="59"/>
      <c r="T880" s="59"/>
      <c r="U880" s="9"/>
      <c r="V880" s="9"/>
      <c r="W880" s="9"/>
      <c r="X880" s="9"/>
      <c r="Y880" s="9"/>
      <c r="Z880" s="9"/>
      <c r="AA880" s="9"/>
      <c r="AB880" s="9"/>
      <c r="AC880" s="60"/>
      <c r="AD880" s="61"/>
      <c r="AE880" s="61"/>
      <c r="AF880" s="61"/>
      <c r="AG880" s="61"/>
      <c r="AH880" s="61"/>
      <c r="AI880" s="61"/>
      <c r="AJ880" s="61"/>
      <c r="AK880" s="61"/>
      <c r="AL880" s="61"/>
      <c r="AM880" s="61"/>
      <c r="AN880" s="61"/>
      <c r="AO880" s="61"/>
      <c r="AP880" s="61"/>
    </row>
    <row r="881" ht="46.5" customHeight="1">
      <c r="A881" s="1"/>
      <c r="B881" s="102" t="s">
        <v>2336</v>
      </c>
      <c r="C881" s="103" t="s">
        <v>2346</v>
      </c>
      <c r="D881" s="104" t="s">
        <v>2347</v>
      </c>
      <c r="E881" s="38"/>
      <c r="F881" s="38"/>
      <c r="G881" s="38"/>
      <c r="H881" s="103" t="s">
        <v>170</v>
      </c>
      <c r="I881" s="150" t="s">
        <v>2348</v>
      </c>
      <c r="J881" s="42" t="str">
        <f>IFERROR(__xludf.DUMMYFUNCTION("GOOGLETRANSLATE(I881,""en"",""pl"")"),"AIT-CONF-APP to zdalne usługi profesjonalne realizowane przez personel AI Tech w ramach jednej sesji, obejmujące instalację i konfigurację aplikacji analitycznej 1-kanałowej. Wymagane jest zainstalowanie sprzętu, zdalny dostęp oraz wygenerowanie licencji "&amp;"na produkt.")</f>
        <v>AIT-CONF-APP to zdalne usługi profesjonalne realizowane przez personel AI Tech w ramach jednej sesji, obejmujące instalację i konfigurację aplikacji analitycznej 1-kanałowej. Wymagane jest zainstalowanie sprzętu, zdalny dostęp oraz wygenerowanie licencji na produkt.</v>
      </c>
      <c r="K881" s="38"/>
      <c r="L881" s="44">
        <v>176.0</v>
      </c>
      <c r="M881" s="8"/>
      <c r="N881" s="45" t="s">
        <v>22</v>
      </c>
      <c r="O881" s="97"/>
      <c r="P881" s="11"/>
      <c r="Q881" s="9"/>
      <c r="R881" s="59"/>
      <c r="S881" s="59"/>
      <c r="T881" s="59"/>
      <c r="U881" s="9"/>
      <c r="V881" s="9"/>
      <c r="W881" s="9"/>
      <c r="X881" s="9"/>
      <c r="Y881" s="9"/>
      <c r="Z881" s="9"/>
      <c r="AA881" s="9"/>
      <c r="AB881" s="9"/>
      <c r="AC881" s="60"/>
      <c r="AD881" s="61"/>
      <c r="AE881" s="61"/>
      <c r="AF881" s="61"/>
      <c r="AG881" s="61"/>
      <c r="AH881" s="61"/>
      <c r="AI881" s="61"/>
      <c r="AJ881" s="61"/>
      <c r="AK881" s="61"/>
      <c r="AL881" s="61"/>
      <c r="AM881" s="61"/>
      <c r="AN881" s="61"/>
      <c r="AO881" s="61"/>
      <c r="AP881" s="61"/>
    </row>
    <row r="882" ht="46.5" customHeight="1">
      <c r="A882" s="1"/>
      <c r="B882" s="102" t="s">
        <v>2336</v>
      </c>
      <c r="C882" s="103" t="s">
        <v>2349</v>
      </c>
      <c r="D882" s="104" t="s">
        <v>2350</v>
      </c>
      <c r="E882" s="38"/>
      <c r="F882" s="38"/>
      <c r="G882" s="38"/>
      <c r="H882" s="103" t="s">
        <v>170</v>
      </c>
      <c r="I882" s="150" t="s">
        <v>2351</v>
      </c>
      <c r="J882" s="42" t="str">
        <f>IFERROR(__xludf.DUMMYFUNCTION("GOOGLETRANSLATE(I882,""en"",""pl"")"),"AIT-OPTIM-APP to zdalne usługi profesjonalne realizowane przez personel AI Tech w zakresie optymalizacji/dostrajania parametrów aplikacji analitycznej 1 kanału. Usługa trwa 1 miesiąc, 2 kontrole tygodniowo (łącznie 8 kontroli). Wymagane jest, aby aplikacj"&amp;"a analityczna była zainstalowana, licencjonowana i dostępna zdalnie.")</f>
        <v>AIT-OPTIM-APP to zdalne usługi profesjonalne realizowane przez personel AI Tech w zakresie optymalizacji/dostrajania parametrów aplikacji analitycznej 1 kanału. Usługa trwa 1 miesiąc, 2 kontrole tygodniowo (łącznie 8 kontroli). Wymagane jest, aby aplikacja analityczna była zainstalowana, licencjonowana i dostępna zdalnie.</v>
      </c>
      <c r="K882" s="38"/>
      <c r="L882" s="44">
        <v>352.0</v>
      </c>
      <c r="M882" s="8"/>
      <c r="N882" s="45" t="s">
        <v>22</v>
      </c>
      <c r="O882" s="97"/>
      <c r="P882" s="11"/>
      <c r="Q882" s="9"/>
      <c r="R882" s="59"/>
      <c r="S882" s="59"/>
      <c r="T882" s="59"/>
      <c r="U882" s="9"/>
      <c r="V882" s="9"/>
      <c r="W882" s="9"/>
      <c r="X882" s="9"/>
      <c r="Y882" s="9"/>
      <c r="Z882" s="9"/>
      <c r="AA882" s="9"/>
      <c r="AB882" s="9"/>
      <c r="AC882" s="60"/>
      <c r="AD882" s="61"/>
      <c r="AE882" s="61"/>
      <c r="AF882" s="61"/>
      <c r="AG882" s="61"/>
      <c r="AH882" s="61"/>
      <c r="AI882" s="61"/>
      <c r="AJ882" s="61"/>
      <c r="AK882" s="61"/>
      <c r="AL882" s="61"/>
      <c r="AM882" s="61"/>
      <c r="AN882" s="61"/>
      <c r="AO882" s="61"/>
      <c r="AP882" s="61"/>
    </row>
    <row r="883" ht="46.5" customHeight="1">
      <c r="A883" s="1"/>
      <c r="B883" s="102" t="s">
        <v>2336</v>
      </c>
      <c r="C883" s="103" t="s">
        <v>2352</v>
      </c>
      <c r="D883" s="104" t="s">
        <v>2353</v>
      </c>
      <c r="E883" s="38"/>
      <c r="F883" s="38"/>
      <c r="G883" s="38"/>
      <c r="H883" s="103" t="s">
        <v>170</v>
      </c>
      <c r="I883" s="150" t="s">
        <v>2354</v>
      </c>
      <c r="J883" s="42" t="str">
        <f>IFERROR(__xludf.DUMMYFUNCTION("GOOGLETRANSLATE(I883,""en"",""pl"")"),"AIT-OPTIM-APP to zdalne usługi profesjonalne realizowane przez personel AI Tech w zakresie optymalizacji/dostrajania parametrów aplikacji analitycznej 1-kanałowej. Usługa trwa 2 miesiące, 2 kontrole tygodniowo (łącznie 16 kontroli). Wymagane jest, aby apl"&amp;"ikacja analityczna była zainstalowana, licencjonowana i dostępna zdalnie.")</f>
        <v>AIT-OPTIM-APP to zdalne usługi profesjonalne realizowane przez personel AI Tech w zakresie optymalizacji/dostrajania parametrów aplikacji analitycznej 1-kanałowej. Usługa trwa 2 miesiące, 2 kontrole tygodniowo (łącznie 16 kontroli). Wymagane jest, aby aplikacja analityczna była zainstalowana, licencjonowana i dostępna zdalnie.</v>
      </c>
      <c r="K883" s="38"/>
      <c r="L883" s="44">
        <v>528.0</v>
      </c>
      <c r="M883" s="8"/>
      <c r="N883" s="45" t="s">
        <v>22</v>
      </c>
      <c r="O883" s="97"/>
      <c r="P883" s="11"/>
      <c r="Q883" s="9"/>
      <c r="R883" s="59"/>
      <c r="S883" s="59"/>
      <c r="T883" s="59"/>
      <c r="U883" s="9"/>
      <c r="V883" s="9"/>
      <c r="W883" s="9"/>
      <c r="X883" s="9"/>
      <c r="Y883" s="9"/>
      <c r="Z883" s="9"/>
      <c r="AA883" s="9"/>
      <c r="AB883" s="9"/>
      <c r="AC883" s="60"/>
      <c r="AD883" s="61"/>
      <c r="AE883" s="61"/>
      <c r="AF883" s="61"/>
      <c r="AG883" s="61"/>
      <c r="AH883" s="61"/>
      <c r="AI883" s="61"/>
      <c r="AJ883" s="61"/>
      <c r="AK883" s="61"/>
      <c r="AL883" s="61"/>
      <c r="AM883" s="61"/>
      <c r="AN883" s="61"/>
      <c r="AO883" s="61"/>
      <c r="AP883" s="61"/>
    </row>
    <row r="884" ht="46.5" customHeight="1">
      <c r="A884" s="1"/>
      <c r="B884" s="102" t="s">
        <v>2336</v>
      </c>
      <c r="C884" s="103" t="s">
        <v>2355</v>
      </c>
      <c r="D884" s="104" t="s">
        <v>2356</v>
      </c>
      <c r="E884" s="38"/>
      <c r="F884" s="38"/>
      <c r="G884" s="38"/>
      <c r="H884" s="103" t="s">
        <v>170</v>
      </c>
      <c r="I884" s="150" t="s">
        <v>2357</v>
      </c>
      <c r="J884" s="42" t="str">
        <f>IFERROR(__xludf.DUMMYFUNCTION("GOOGLETRANSLATE(I884,""en"",""pl"")"),"AIT-CONF-DASH to zdalne usługi profesjonalne realizowane przez personel AI Tech w ramach jednej sesji, obejmujące instalację i konfigurację pulpitu nawigacyjnego. Wymagana jest instalacja sprzętu, zdalny dostęp do niego oraz wygenerowanie licencji na prod"&amp;"ukt.")</f>
        <v>AIT-CONF-DASH to zdalne usługi profesjonalne realizowane przez personel AI Tech w ramach jednej sesji, obejmujące instalację i konfigurację pulpitu nawigacyjnego. Wymagana jest instalacja sprzętu, zdalny dostęp do niego oraz wygenerowanie licencji na produkt.</v>
      </c>
      <c r="K884" s="38"/>
      <c r="L884" s="44">
        <v>212.0</v>
      </c>
      <c r="M884" s="8"/>
      <c r="N884" s="45" t="s">
        <v>22</v>
      </c>
      <c r="O884" s="97"/>
      <c r="P884" s="11"/>
      <c r="Q884" s="9"/>
      <c r="R884" s="59"/>
      <c r="S884" s="59"/>
      <c r="T884" s="59"/>
      <c r="U884" s="9"/>
      <c r="V884" s="9"/>
      <c r="W884" s="9"/>
      <c r="X884" s="9"/>
      <c r="Y884" s="9"/>
      <c r="Z884" s="9"/>
      <c r="AA884" s="9"/>
      <c r="AB884" s="9"/>
      <c r="AC884" s="60"/>
      <c r="AD884" s="61"/>
      <c r="AE884" s="61"/>
      <c r="AF884" s="61"/>
      <c r="AG884" s="61"/>
      <c r="AH884" s="61"/>
      <c r="AI884" s="61"/>
      <c r="AJ884" s="61"/>
      <c r="AK884" s="61"/>
      <c r="AL884" s="61"/>
      <c r="AM884" s="61"/>
      <c r="AN884" s="61"/>
      <c r="AO884" s="61"/>
      <c r="AP884" s="61"/>
    </row>
    <row r="885" ht="30.0" customHeight="1">
      <c r="A885" s="1"/>
      <c r="B885" s="129" t="s">
        <v>2358</v>
      </c>
      <c r="C885" s="113"/>
      <c r="D885" s="113"/>
      <c r="E885" s="144"/>
      <c r="F885" s="144"/>
      <c r="G885" s="144"/>
      <c r="H885" s="94"/>
      <c r="I885" s="113"/>
      <c r="J885" s="42" t="str">
        <f>IFERROR(__xludf.DUMMYFUNCTION("GOOGLETRANSLATE(I885,""en"",""pl"")"),"#VALUE!")</f>
        <v>#VALUE!</v>
      </c>
      <c r="K885" s="144"/>
      <c r="L885" s="114"/>
      <c r="M885" s="115"/>
      <c r="N885" s="96"/>
      <c r="O885" s="146"/>
      <c r="P885" s="11"/>
      <c r="Q885" s="9"/>
      <c r="R885" s="59"/>
      <c r="S885" s="59"/>
      <c r="T885" s="59"/>
      <c r="U885" s="9"/>
      <c r="V885" s="9"/>
      <c r="W885" s="9"/>
      <c r="X885" s="9"/>
      <c r="Y885" s="9"/>
      <c r="Z885" s="9"/>
      <c r="AA885" s="9"/>
      <c r="AB885" s="9"/>
      <c r="AC885" s="60"/>
      <c r="AD885" s="61"/>
      <c r="AE885" s="61"/>
      <c r="AF885" s="61"/>
      <c r="AG885" s="61"/>
      <c r="AH885" s="61"/>
      <c r="AI885" s="61"/>
      <c r="AJ885" s="61"/>
      <c r="AK885" s="61"/>
      <c r="AL885" s="61"/>
      <c r="AM885" s="61"/>
      <c r="AN885" s="61"/>
      <c r="AO885" s="61"/>
      <c r="AP885" s="61"/>
    </row>
    <row r="886" ht="46.5" customHeight="1">
      <c r="A886" s="1"/>
      <c r="B886" s="116" t="s">
        <v>2311</v>
      </c>
      <c r="C886" s="117" t="s">
        <v>2359</v>
      </c>
      <c r="D886" s="117" t="s">
        <v>2360</v>
      </c>
      <c r="E886" s="38"/>
      <c r="F886" s="38" t="s">
        <v>623</v>
      </c>
      <c r="G886" s="38"/>
      <c r="H886" s="117" t="s">
        <v>79</v>
      </c>
      <c r="I886" s="42" t="s">
        <v>2361</v>
      </c>
      <c r="J886" s="42" t="str">
        <f>IFERROR(__xludf.DUMMYFUNCTION("GOOGLETRANSLATE(I886,""en"",""pl"")"),"Seria X zasilana przez zewnętrzną kamerę wandaloodporną typu bullet z siecią Wisenet 5 IR i kartą SD o pojemności 32 GB, preinstalowaną i licencjonowaną aplikacją RoadWatch ANPR; zarządzanie listami, inteligentne wyszukiwanie, statystyki, wyzwalacz barier"&amp;"y, kreator konfiguracji ANPR, integracja z protokołami WAVE VMS, JSON i UTMC, 2 MP @60 kl./s, obiektyw zmiennoogniskowy z napędem silnikowym 2,8 ~ 12,0 mm (4,3x) (119,5°~27,9°), potrójny kodek H.265/H.264/MJPEG z WiseStream II, strumieniowanie wielokrotne"&amp;", WDR 150 dB, tryb True Day &amp; Night (ICR), diody LED IR o dużej mocy z widoczną długością podczerwieni 50 m, HLC, przekazywanie, cyfrowa stabilizacja obrazu, dwukierunkowy dźwięk, IP67, IK10, Nema 4X, PoE/12 V DC/24 V AC")</f>
        <v>Seria X zasilana przez zewnętrzną kamerę wandaloodporną typu bullet z siecią Wisenet 5 IR i kartą SD o pojemności 32 GB, preinstalowaną i licencjonowaną aplikacją RoadWatch ANPR; zarządzanie listami, inteligentne wyszukiwanie, statystyki, wyzwalacz bariery, kreator konfiguracji ANPR, integracja z protokołami WAVE VMS, JSON i UTMC, 2 MP @60 kl./s, obiektyw zmiennoogniskowy z napędem silnikowym 2,8 ~ 12,0 mm (4,3x) (119,5°~27,9°), potrójny kodek H.265/H.264/MJPEG z WiseStream II, strumieniowanie wielokrotne, WDR 150 dB, tryb True Day &amp; Night (ICR), diody LED IR o dużej mocy z widoczną długością podczerwieni 50 m, HLC, przekazywanie, cyfrowa stabilizacja obrazu, dwukierunkowy dźwięk, IP67, IK10, Nema 4X, PoE/12 V DC/24 V AC</v>
      </c>
      <c r="K886" s="38"/>
      <c r="L886" s="44">
        <v>1630.0</v>
      </c>
      <c r="M886" s="8"/>
      <c r="N886" s="45" t="s">
        <v>22</v>
      </c>
      <c r="O886" s="97"/>
      <c r="P886" s="11"/>
      <c r="Q886" s="9"/>
      <c r="R886" s="59"/>
      <c r="S886" s="59"/>
      <c r="T886" s="59"/>
      <c r="U886" s="9"/>
      <c r="V886" s="9"/>
      <c r="W886" s="9"/>
      <c r="X886" s="9"/>
      <c r="Y886" s="9"/>
      <c r="Z886" s="9"/>
      <c r="AA886" s="9"/>
      <c r="AB886" s="9"/>
      <c r="AC886" s="60"/>
      <c r="AD886" s="61"/>
      <c r="AE886" s="61"/>
      <c r="AF886" s="61"/>
      <c r="AG886" s="61"/>
      <c r="AH886" s="61"/>
      <c r="AI886" s="61"/>
      <c r="AJ886" s="61"/>
      <c r="AK886" s="61"/>
      <c r="AL886" s="61"/>
      <c r="AM886" s="61"/>
      <c r="AN886" s="61"/>
      <c r="AO886" s="61"/>
      <c r="AP886" s="61"/>
    </row>
    <row r="887" ht="46.5" customHeight="1">
      <c r="A887" s="1"/>
      <c r="B887" s="116" t="s">
        <v>2311</v>
      </c>
      <c r="C887" s="117" t="s">
        <v>2362</v>
      </c>
      <c r="D887" s="117" t="s">
        <v>2363</v>
      </c>
      <c r="E887" s="38"/>
      <c r="F887" s="38" t="s">
        <v>623</v>
      </c>
      <c r="G887" s="38"/>
      <c r="H887" s="117" t="s">
        <v>79</v>
      </c>
      <c r="I887" s="42" t="s">
        <v>2364</v>
      </c>
      <c r="J887" s="42" t="str">
        <f>IFERROR(__xludf.DUMMYFUNCTION("GOOGLETRANSLATE(I887,""en"",""pl"")"),"Seria X oparta na kamerze zewnętrznej IR Wisenet 5, zabezpieczonej przed wandalizmem, z kartą SD o pojemności 32 GB, preinstalowaną i licencjonowaną aplikacją RoadWatch ANPR; Zarządzanie listą, inteligentne wyszukiwanie, statystyki, wyzwalacz bariery, kre"&amp;"ator konfiguracji ANPR, integracja z protokołami WAVE VMS, JSON i UTMC, 2 MP @60 kl./s, Full HD (1080p), obiektyw z zoomem optycznym 5,2 ~ 62,4 mm (12x) (54,58°~5,30°), potrójny kodek H.265/H.264/MJPEG z WiseStream II, strumieniowanie wielokrotne, 150 dB "&amp;"WDR, True Day &amp; Night (ICR), diody LED IR o dużej mocy z widoczną długością podczerwieni 70 m, HLC, przekazywanie, cyfrowa stabilizacja obrazu z wbudowanym czujnikiem żyroskopowym, dwukierunkowy dźwięk, IP67, IK10, Nema 4X, PoE/12 V DC/24 V AC")</f>
        <v>Seria X oparta na kamerze zewnętrznej IR Wisenet 5, zabezpieczonej przed wandalizmem, z kartą SD o pojemności 32 GB, preinstalowaną i licencjonowaną aplikacją RoadWatch ANPR; Zarządzanie listą, inteligentne wyszukiwanie, statystyki, wyzwalacz bariery, kreator konfiguracji ANPR, integracja z protokołami WAVE VMS, JSON i UTMC, 2 MP @60 kl./s, Full HD (1080p), obiektyw z zoomem optycznym 5,2 ~ 62,4 mm (12x) (54,58°~5,30°), potrójny kodek H.265/H.264/MJPEG z WiseStream II, strumieniowanie wielokrotne, 150 dB WDR, True Day &amp; Night (ICR), diody LED IR o dużej mocy z widoczną długością podczerwieni 70 m, HLC, przekazywanie, cyfrowa stabilizacja obrazu z wbudowanym czujnikiem żyroskopowym, dwukierunkowy dźwięk, IP67, IK10, Nema 4X, PoE/12 V DC/24 V AC</v>
      </c>
      <c r="K887" s="38"/>
      <c r="L887" s="44">
        <v>2306.0</v>
      </c>
      <c r="M887" s="8"/>
      <c r="N887" s="45" t="s">
        <v>22</v>
      </c>
      <c r="O887" s="97"/>
      <c r="P887" s="11"/>
      <c r="Q887" s="9"/>
      <c r="R887" s="59"/>
      <c r="S887" s="59"/>
      <c r="T887" s="59"/>
      <c r="U887" s="9"/>
      <c r="V887" s="9"/>
      <c r="W887" s="9"/>
      <c r="X887" s="9"/>
      <c r="Y887" s="9"/>
      <c r="Z887" s="9"/>
      <c r="AA887" s="9"/>
      <c r="AB887" s="9"/>
      <c r="AC887" s="60"/>
      <c r="AD887" s="61"/>
      <c r="AE887" s="61"/>
      <c r="AF887" s="61"/>
      <c r="AG887" s="61"/>
      <c r="AH887" s="61"/>
      <c r="AI887" s="61"/>
      <c r="AJ887" s="61"/>
      <c r="AK887" s="61"/>
      <c r="AL887" s="61"/>
      <c r="AM887" s="61"/>
      <c r="AN887" s="61"/>
      <c r="AO887" s="61"/>
      <c r="AP887" s="61"/>
    </row>
    <row r="888" ht="46.5" customHeight="1">
      <c r="A888" s="1"/>
      <c r="B888" s="116" t="s">
        <v>2311</v>
      </c>
      <c r="C888" s="117" t="s">
        <v>2365</v>
      </c>
      <c r="D888" s="117" t="s">
        <v>2363</v>
      </c>
      <c r="E888" s="38"/>
      <c r="F888" s="38" t="s">
        <v>623</v>
      </c>
      <c r="G888" s="38"/>
      <c r="H888" s="117" t="s">
        <v>79</v>
      </c>
      <c r="I888" s="42" t="s">
        <v>2366</v>
      </c>
      <c r="J888" s="42" t="str">
        <f>IFERROR(__xludf.DUMMYFUNCTION("GOOGLETRANSLATE(I888,""en"",""pl"")"),"Seria X oparta na sieciowej kamerze IR SoC do użytku na zewnątrz, wandaloodpornej, typu bullet z kartą SD o pojemności 32 GB, preinstalowaną i licencjonowaną aplikacją RoadWatch ANPR; zarządzanie listami, inteligentne wyszukiwanie, statystyki, wyzwalanie "&amp;"barier, kreator konfiguracji ANPR, integracja z protokołami WAVE VMS, JSON i UTMC, 2 MP @60 kl./s, Full HD (1080p), obiektyw z zoomem optycznym 5,2–62,4 mm (12x), H.265/H.264/MJPEG z WiseStream III, strumieniowanie wielokrotne, WDR 150 dB, True Day &amp; Nigh"&amp;"t (ICR), diody LED IR o dużej mocy z widoczną długością podczerwieni 90 m, LC, przełączanie PTZ; cyfrowa stabilizacja obrazu z wbudowanym czujnikiem żyroskopowym, IP66/IP67, IK10, Nema 4X, PoE+/12 V DC")</f>
        <v>Seria X oparta na sieciowej kamerze IR SoC do użytku na zewnątrz, wandaloodpornej, typu bullet z kartą SD o pojemności 32 GB, preinstalowaną i licencjonowaną aplikacją RoadWatch ANPR; zarządzanie listami, inteligentne wyszukiwanie, statystyki, wyzwalanie barier, kreator konfiguracji ANPR, integracja z protokołami WAVE VMS, JSON i UTMC, 2 MP @60 kl./s, Full HD (1080p), obiektyw z zoomem optycznym 5,2–62,4 mm (12x), H.265/H.264/MJPEG z WiseStream III, strumieniowanie wielokrotne, WDR 150 dB, True Day &amp; Night (ICR), diody LED IR o dużej mocy z widoczną długością podczerwieni 90 m, LC, przełączanie PTZ; cyfrowa stabilizacja obrazu z wbudowanym czujnikiem żyroskopowym, IP66/IP67, IK10, Nema 4X, PoE+/12 V DC</v>
      </c>
      <c r="K888" s="38"/>
      <c r="L888" s="44">
        <v>2504.0</v>
      </c>
      <c r="M888" s="8"/>
      <c r="N888" s="45" t="s">
        <v>22</v>
      </c>
      <c r="O888" s="97"/>
      <c r="P888" s="11"/>
      <c r="Q888" s="9"/>
      <c r="R888" s="59"/>
      <c r="S888" s="59"/>
      <c r="T888" s="59"/>
      <c r="U888" s="9"/>
      <c r="V888" s="9"/>
      <c r="W888" s="9"/>
      <c r="X888" s="9"/>
      <c r="Y888" s="9"/>
      <c r="Z888" s="9"/>
      <c r="AA888" s="9"/>
      <c r="AB888" s="9"/>
      <c r="AC888" s="60"/>
      <c r="AD888" s="61"/>
      <c r="AE888" s="61"/>
      <c r="AF888" s="61"/>
      <c r="AG888" s="61"/>
      <c r="AH888" s="61"/>
      <c r="AI888" s="61"/>
      <c r="AJ888" s="61"/>
      <c r="AK888" s="61"/>
      <c r="AL888" s="61"/>
      <c r="AM888" s="61"/>
      <c r="AN888" s="61"/>
      <c r="AO888" s="61"/>
      <c r="AP888" s="61"/>
    </row>
    <row r="889" ht="46.5" customHeight="1">
      <c r="A889" s="1"/>
      <c r="B889" s="116" t="s">
        <v>2311</v>
      </c>
      <c r="C889" s="117" t="s">
        <v>2367</v>
      </c>
      <c r="D889" s="117" t="s">
        <v>2360</v>
      </c>
      <c r="E889" s="38"/>
      <c r="F889" s="38" t="s">
        <v>623</v>
      </c>
      <c r="G889" s="38"/>
      <c r="H889" s="117" t="s">
        <v>79</v>
      </c>
      <c r="I889" s="110" t="s">
        <v>2368</v>
      </c>
      <c r="J889" s="42" t="str">
        <f>IFERROR(__xludf.DUMMYFUNCTION("GOOGLETRANSLATE(I889,""en"",""pl"")"),"Kamera zewnętrzna z serii X AI zasilana przez Wisenet 7, typu bullet, z kartą SD o pojemności 32 GB, preinstalowaną i licencjonowaną aplikacją RoadWatch ANPR; zarządzanie listami, inteligentne wyszukiwanie, statystyki, wyzwalacz bariery, kreator konfigura"&amp;"cji ANPR, integracja z protokołami WAVE VMS, JSON i UTMC, 2 MP @60 kl./s, obiektyw zmiennoogniskowy z napędem silnikowym 2,8–12 mm (4,3x), potrójny kodek H.265/H.264/MJPEG z WiseStream III, strumieniowanie wielokrotne, ekstremalny WDR (150 dB), automatycz"&amp;"ny tryb dzień/noc (ICR), zasięg podczerwieni 40 m, cyberbezpieczeństwo na następnym poziomie, cyfrowa stabilizacja obrazu z wbudowanym czujnikiem żyroskopowym, dwukierunkowy dźwięk, IP66/IP67, IK10, NEMA4X, PoE/12 V DC")</f>
        <v>Kamera zewnętrzna z serii X AI zasilana przez Wisenet 7, typu bullet, z kartą SD o pojemności 32 GB, preinstalowaną i licencjonowaną aplikacją RoadWatch ANPR; zarządzanie listami, inteligentne wyszukiwanie, statystyki, wyzwalacz bariery, kreator konfiguracji ANPR, integracja z protokołami WAVE VMS, JSON i UTMC, 2 MP @60 kl./s, obiektyw zmiennoogniskowy z napędem silnikowym 2,8–12 mm (4,3x), potrójny kodek H.265/H.264/MJPEG z WiseStream III, strumieniowanie wielokrotne, ekstremalny WDR (150 dB), automatyczny tryb dzień/noc (ICR), zasięg podczerwieni 40 m, cyberbezpieczeństwo na następnym poziomie, cyfrowa stabilizacja obrazu z wbudowanym czujnikiem żyroskopowym, dwukierunkowy dźwięk, IP66/IP67, IK10, NEMA4X, PoE/12 V DC</v>
      </c>
      <c r="K889" s="38"/>
      <c r="L889" s="44">
        <v>2104.0</v>
      </c>
      <c r="M889" s="8"/>
      <c r="N889" s="45" t="s">
        <v>22</v>
      </c>
      <c r="O889" s="97"/>
      <c r="P889" s="11"/>
      <c r="Q889" s="9"/>
      <c r="R889" s="59"/>
      <c r="S889" s="59"/>
      <c r="T889" s="59"/>
      <c r="U889" s="9"/>
      <c r="V889" s="9"/>
      <c r="W889" s="9"/>
      <c r="X889" s="9"/>
      <c r="Y889" s="9"/>
      <c r="Z889" s="9"/>
      <c r="AA889" s="9"/>
      <c r="AB889" s="9"/>
      <c r="AC889" s="60"/>
      <c r="AD889" s="61"/>
      <c r="AE889" s="61"/>
      <c r="AF889" s="61"/>
      <c r="AG889" s="61"/>
      <c r="AH889" s="61"/>
      <c r="AI889" s="61"/>
      <c r="AJ889" s="61"/>
      <c r="AK889" s="61"/>
      <c r="AL889" s="61"/>
      <c r="AM889" s="61"/>
      <c r="AN889" s="61"/>
      <c r="AO889" s="61"/>
      <c r="AP889" s="61"/>
    </row>
    <row r="890" ht="46.5" customHeight="1">
      <c r="A890" s="1"/>
      <c r="B890" s="116" t="s">
        <v>2311</v>
      </c>
      <c r="C890" s="117" t="s">
        <v>2369</v>
      </c>
      <c r="D890" s="117" t="s">
        <v>2370</v>
      </c>
      <c r="E890" s="38"/>
      <c r="F890" s="38" t="s">
        <v>623</v>
      </c>
      <c r="G890" s="38"/>
      <c r="H890" s="117" t="s">
        <v>79</v>
      </c>
      <c r="I890" s="110" t="s">
        <v>2371</v>
      </c>
      <c r="J890" s="42" t="str">
        <f>IFERROR(__xludf.DUMMYFUNCTION("GOOGLETRANSLATE(I890,""en"",""pl"")"),"Seria X zasilana przez zewnętrzną kamerę kopułkową IR Wisenet 5 z kartą SD o pojemności 32 GB, preinstalowaną i licencjonowaną aplikacją RoadWatch ANPR; zarządzanie listami, inteligentne wyszukiwanie, statystyki, wyzwalacz bariery, kreator konfiguracji AN"&amp;"PR, integracja z protokołami WAVE VMS, JSON i UTMC, 2 MP @60 kl./s, obiektyw zmiennoogniskowy z napędem silnikowym 2,8 ~ 12,0 mm (4,3x) (119,5°~27,9°), potrójny kodek H.265/H.264/MJPEG z WiseStream II, strumieniowanie wielokrotne, WDR 150 dB, True Day &amp; N"&amp;"ight (ICR), diody LED IR o dużej mocy z widoczną długością podczerwieni 50 m, HLC, Handover, cyfrowa stabilizacja obrazu, dwukierunkowy dźwięk, IP67/IP66, IK10, Nema 4X, PoE/12 V DC/24 V AC")</f>
        <v>Seria X zasilana przez zewnętrzną kamerę kopułkową IR Wisenet 5 z kartą SD o pojemności 32 GB, preinstalowaną i licencjonowaną aplikacją RoadWatch ANPR; zarządzanie listami, inteligentne wyszukiwanie, statystyki, wyzwalacz bariery, kreator konfiguracji ANPR, integracja z protokołami WAVE VMS, JSON i UTMC, 2 MP @60 kl./s, obiektyw zmiennoogniskowy z napędem silnikowym 2,8 ~ 12,0 mm (4,3x) (119,5°~27,9°), potrójny kodek H.265/H.264/MJPEG z WiseStream II, strumieniowanie wielokrotne, WDR 150 dB, True Day &amp; Night (ICR), diody LED IR o dużej mocy z widoczną długością podczerwieni 50 m, HLC, Handover, cyfrowa stabilizacja obrazu, dwukierunkowy dźwięk, IP67/IP66, IK10, Nema 4X, PoE/12 V DC/24 V AC</v>
      </c>
      <c r="K890" s="38"/>
      <c r="L890" s="44">
        <v>1751.0</v>
      </c>
      <c r="M890" s="8"/>
      <c r="N890" s="45" t="s">
        <v>22</v>
      </c>
      <c r="O890" s="97"/>
      <c r="P890" s="11"/>
      <c r="Q890" s="9"/>
      <c r="R890" s="59"/>
      <c r="S890" s="59"/>
      <c r="T890" s="59"/>
      <c r="U890" s="9"/>
      <c r="V890" s="9"/>
      <c r="W890" s="9"/>
      <c r="X890" s="9"/>
      <c r="Y890" s="9"/>
      <c r="Z890" s="9"/>
      <c r="AA890" s="9"/>
      <c r="AB890" s="9"/>
      <c r="AC890" s="60"/>
      <c r="AD890" s="61"/>
      <c r="AE890" s="61"/>
      <c r="AF890" s="61"/>
      <c r="AG890" s="61"/>
      <c r="AH890" s="61"/>
      <c r="AI890" s="61"/>
      <c r="AJ890" s="61"/>
      <c r="AK890" s="61"/>
      <c r="AL890" s="61"/>
      <c r="AM890" s="61"/>
      <c r="AN890" s="61"/>
      <c r="AO890" s="61"/>
      <c r="AP890" s="61"/>
    </row>
    <row r="891" ht="46.5" customHeight="1">
      <c r="A891" s="1"/>
      <c r="B891" s="116" t="s">
        <v>2311</v>
      </c>
      <c r="C891" s="117" t="s">
        <v>2372</v>
      </c>
      <c r="D891" s="117" t="s">
        <v>2370</v>
      </c>
      <c r="E891" s="38"/>
      <c r="F891" s="38" t="s">
        <v>623</v>
      </c>
      <c r="G891" s="38"/>
      <c r="H891" s="117" t="s">
        <v>79</v>
      </c>
      <c r="I891" s="42" t="s">
        <v>2373</v>
      </c>
      <c r="J891" s="42" t="str">
        <f>IFERROR(__xludf.DUMMYFUNCTION("GOOGLETRANSLATE(I891,""en"",""pl"")"),"Seria X z kamerą kopułkową IR do zastosowań zewnętrznych, antywandalową, zasilaną przez Wisenet 7 AI, z kartą SD o pojemności 32 GB, preinstalowaną i licencjonowaną aplikacją RoadWatch ANPR; zarządzanie listami, inteligentne wyszukiwanie, statystyki, wyzw"&amp;"alacz bariery, kreator konfiguracji ANPR, integracja z protokołami WAVE VMS, JSON i UTMC, 2 MP @60 kl./s, obiektyw zmiennoogniskowy z napędem silnikowym 2,8 ~ 12,0 mm (4,3x) (119,5°~27,9°), potrójny kodek H.265/H.264/MJPEG z WiseStream III, strumieniowani"&amp;"e wielokrotne, WDR 150 dB, True Day &amp; Night (ICR), diody LED IR o dużej mocy z widoczną długością podczerwieni 40 m, HLC, cyfrowa stabilizacja obrazu z czujnikiem żyroskopowym, dwukierunkowy dźwięk, IP67/IP66, IK10, Nema 4X, PoE/12 V DC")</f>
        <v>Seria X z kamerą kopułkową IR do zastosowań zewnętrznych, antywandalową, zasilaną przez Wisenet 7 AI, z kartą SD o pojemności 32 GB, preinstalowaną i licencjonowaną aplikacją RoadWatch ANPR; zarządzanie listami, inteligentne wyszukiwanie, statystyki, wyzwalacz bariery, kreator konfiguracji ANPR, integracja z protokołami WAVE VMS, JSON i UTMC, 2 MP @60 kl./s, obiektyw zmiennoogniskowy z napędem silnikowym 2,8 ~ 12,0 mm (4,3x) (119,5°~27,9°), potrójny kodek H.265/H.264/MJPEG z WiseStream III, strumieniowanie wielokrotne, WDR 150 dB, True Day &amp; Night (ICR), diody LED IR o dużej mocy z widoczną długością podczerwieni 40 m, HLC, cyfrowa stabilizacja obrazu z czujnikiem żyroskopowym, dwukierunkowy dźwięk, IP67/IP66, IK10, Nema 4X, PoE/12 V DC</v>
      </c>
      <c r="K891" s="38"/>
      <c r="L891" s="44">
        <v>2104.0</v>
      </c>
      <c r="M891" s="8"/>
      <c r="N891" s="45" t="s">
        <v>22</v>
      </c>
      <c r="O891" s="97"/>
      <c r="P891" s="11"/>
      <c r="Q891" s="9"/>
      <c r="R891" s="59"/>
      <c r="S891" s="59"/>
      <c r="T891" s="59"/>
      <c r="U891" s="9"/>
      <c r="V891" s="9"/>
      <c r="W891" s="9"/>
      <c r="X891" s="9"/>
      <c r="Y891" s="9"/>
      <c r="Z891" s="9"/>
      <c r="AA891" s="9"/>
      <c r="AB891" s="9"/>
      <c r="AC891" s="60"/>
      <c r="AD891" s="61"/>
      <c r="AE891" s="61"/>
      <c r="AF891" s="61"/>
      <c r="AG891" s="61"/>
      <c r="AH891" s="61"/>
      <c r="AI891" s="61"/>
      <c r="AJ891" s="61"/>
      <c r="AK891" s="61"/>
      <c r="AL891" s="61"/>
      <c r="AM891" s="61"/>
      <c r="AN891" s="61"/>
      <c r="AO891" s="61"/>
      <c r="AP891" s="61"/>
    </row>
    <row r="892" ht="46.5" customHeight="1">
      <c r="A892" s="1"/>
      <c r="B892" s="116" t="s">
        <v>2119</v>
      </c>
      <c r="C892" s="117" t="s">
        <v>2374</v>
      </c>
      <c r="D892" s="117" t="s">
        <v>2375</v>
      </c>
      <c r="E892" s="38"/>
      <c r="F892" s="38"/>
      <c r="G892" s="38"/>
      <c r="H892" s="117" t="s">
        <v>2376</v>
      </c>
      <c r="I892" s="42" t="s">
        <v>2377</v>
      </c>
      <c r="J892" s="42" t="str">
        <f>IFERROR(__xludf.DUMMYFUNCTION("GOOGLETRANSLATE(I892,""en"",""pl"")"),"Uwaga: do działania obrazów zdarzeń i integracji wymagana jest karta Micro SD klasy 10 o pojemności co najmniej 32 GB (kod zamówienia: SAMSUNG-MB-MJ32KA). Licencja RoadWatch 1 Channel, system ANPR oparty na krawędzi dla kamer Wisenet 5 i 7 serii X, obsług"&amp;"a 1 pasa ruchu z maksymalną prędkością 90 km/h (55 mil/h) w zależności od modelu, dokładność rozpoznawania 95%, rozpoznawanie 42 krajów europejskich, detekcja kierunku, zarządzanie listami, wyzwalanie barier, inteligentne wyszukiwanie (cała/częściowa tabl"&amp;"ica rejestracyjna, kraj, data i ich kombinacja), eksportowanie wyników wyszukiwania do formatu Excel, widżet statystyczny (dane dzienne i tygodniowe), narzędzia konfiguracji (kreator, stopklatka, kąt i rozmiar tablicy rejestracyjnej), eksport/import ustaw"&amp;"ień i kopia zapasowa bazy danych, integracja z protokołami WAVE VMS, SSM VMS, JSON i UTMC * Wymagana karta SD (należy zakupić osobno).")</f>
        <v>Uwaga: do działania obrazów zdarzeń i integracji wymagana jest karta Micro SD klasy 10 o pojemności co najmniej 32 GB (kod zamówienia: SAMSUNG-MB-MJ32KA). Licencja RoadWatch 1 Channel, system ANPR oparty na krawędzi dla kamer Wisenet 5 i 7 serii X, obsługa 1 pasa ruchu z maksymalną prędkością 90 km/h (55 mil/h) w zależności od modelu, dokładność rozpoznawania 95%, rozpoznawanie 42 krajów europejskich, detekcja kierunku, zarządzanie listami, wyzwalanie barier, inteligentne wyszukiwanie (cała/częściowa tablica rejestracyjna, kraj, data i ich kombinacja), eksportowanie wyników wyszukiwania do formatu Excel, widżet statystyczny (dane dzienne i tygodniowe), narzędzia konfiguracji (kreator, stopklatka, kąt i rozmiar tablicy rejestracyjnej), eksport/import ustawień i kopia zapasowa bazy danych, integracja z protokołami WAVE VMS, SSM VMS, JSON i UTMC * Wymagana karta SD (należy zakupić osobno).</v>
      </c>
      <c r="K892" s="38"/>
      <c r="L892" s="44">
        <v>864.0</v>
      </c>
      <c r="M892" s="8"/>
      <c r="N892" s="45" t="s">
        <v>22</v>
      </c>
      <c r="O892" s="97"/>
      <c r="P892" s="11"/>
      <c r="Q892" s="9"/>
      <c r="R892" s="59"/>
      <c r="S892" s="59"/>
      <c r="T892" s="59"/>
      <c r="U892" s="9"/>
      <c r="V892" s="9"/>
      <c r="W892" s="9"/>
      <c r="X892" s="9"/>
      <c r="Y892" s="9"/>
      <c r="Z892" s="9"/>
      <c r="AA892" s="9"/>
      <c r="AB892" s="9"/>
      <c r="AC892" s="60"/>
      <c r="AD892" s="61"/>
      <c r="AE892" s="61"/>
      <c r="AF892" s="61"/>
      <c r="AG892" s="61"/>
      <c r="AH892" s="61"/>
      <c r="AI892" s="61"/>
      <c r="AJ892" s="61"/>
      <c r="AK892" s="61"/>
      <c r="AL892" s="61"/>
      <c r="AM892" s="61"/>
      <c r="AN892" s="61"/>
      <c r="AO892" s="61"/>
      <c r="AP892" s="61"/>
    </row>
    <row r="893" ht="30.0" customHeight="1">
      <c r="A893" s="1"/>
      <c r="B893" s="129" t="s">
        <v>2378</v>
      </c>
      <c r="C893" s="113"/>
      <c r="D893" s="113"/>
      <c r="E893" s="144"/>
      <c r="F893" s="144"/>
      <c r="G893" s="144"/>
      <c r="H893" s="94"/>
      <c r="I893" s="113"/>
      <c r="J893" s="42" t="str">
        <f>IFERROR(__xludf.DUMMYFUNCTION("GOOGLETRANSLATE(I893,""en"",""pl"")"),"#VALUE!")</f>
        <v>#VALUE!</v>
      </c>
      <c r="K893" s="144"/>
      <c r="L893" s="114"/>
      <c r="M893" s="115"/>
      <c r="N893" s="96"/>
      <c r="O893" s="146"/>
      <c r="P893" s="11"/>
      <c r="Q893" s="9"/>
      <c r="R893" s="59"/>
      <c r="S893" s="59"/>
      <c r="T893" s="59"/>
      <c r="U893" s="9"/>
      <c r="V893" s="9"/>
      <c r="W893" s="9"/>
      <c r="X893" s="9"/>
      <c r="Y893" s="9"/>
      <c r="Z893" s="9"/>
      <c r="AA893" s="9"/>
      <c r="AB893" s="9"/>
      <c r="AC893" s="60"/>
      <c r="AD893" s="61"/>
      <c r="AE893" s="61"/>
      <c r="AF893" s="61"/>
      <c r="AG893" s="61"/>
      <c r="AH893" s="61"/>
      <c r="AI893" s="61"/>
      <c r="AJ893" s="61"/>
      <c r="AK893" s="61"/>
      <c r="AL893" s="61"/>
      <c r="AM893" s="61"/>
      <c r="AN893" s="61"/>
      <c r="AO893" s="61"/>
      <c r="AP893" s="61"/>
    </row>
    <row r="894" ht="46.5" customHeight="1">
      <c r="A894" s="1"/>
      <c r="B894" s="38" t="s">
        <v>2119</v>
      </c>
      <c r="C894" s="40" t="s">
        <v>2379</v>
      </c>
      <c r="D894" s="39" t="s">
        <v>2380</v>
      </c>
      <c r="E894" s="38"/>
      <c r="F894" s="38"/>
      <c r="G894" s="38"/>
      <c r="H894" s="39" t="s">
        <v>79</v>
      </c>
      <c r="I894" s="48" t="s">
        <v>2381</v>
      </c>
      <c r="J894" s="42" t="str">
        <f>IFERROR(__xludf.DUMMYFUNCTION("GOOGLETRANSLATE(I894,""en"",""pl"")"),"Licencja na pojedynczy kanał do analizy automatycznego wykrywania incydentów (AID) opartej na serwerze. Dotyczy zamówienia od 1 do 100 kanałów. Obejmuje aktualizacje oprogramowania w pierwszym roku, poprawki błędów, drobne nowe funkcje i zgłoszenia do pom"&amp;"ocy technicznej w oparciu o 10 dni użytkowania. UWAGA DOTYCZĄCA ZAMÓWIENIA: Ostateczny wykaz materiałów dla projektu AID wymaga weryfikacji. Prosimy o kontakt z lokalnym przedstawicielem handlowym.")</f>
        <v>Licencja na pojedynczy kanał do analizy automatycznego wykrywania incydentów (AID) opartej na serwerze. Dotyczy zamówienia od 1 do 100 kanałów. Obejmuje aktualizacje oprogramowania w pierwszym roku, poprawki błędów, drobne nowe funkcje i zgłoszenia do pomocy technicznej w oparciu o 10 dni użytkowania. UWAGA DOTYCZĄCA ZAMÓWIENIA: Ostateczny wykaz materiałów dla projektu AID wymaga weryfikacji. Prosimy o kontakt z lokalnym przedstawicielem handlowym.</v>
      </c>
      <c r="K894" s="38"/>
      <c r="L894" s="44">
        <v>1246.11</v>
      </c>
      <c r="M894" s="8"/>
      <c r="N894" s="45" t="s">
        <v>22</v>
      </c>
      <c r="O894" s="97"/>
      <c r="P894" s="9"/>
      <c r="Q894" s="9"/>
      <c r="R894" s="59"/>
      <c r="S894" s="59"/>
      <c r="T894" s="59"/>
      <c r="U894" s="9"/>
      <c r="V894" s="9"/>
      <c r="W894" s="9"/>
      <c r="X894" s="9"/>
      <c r="Y894" s="9"/>
      <c r="Z894" s="9"/>
      <c r="AA894" s="9"/>
      <c r="AB894" s="9"/>
      <c r="AC894" s="101"/>
      <c r="AD894" s="75"/>
      <c r="AE894" s="75"/>
      <c r="AF894" s="75"/>
      <c r="AG894" s="75"/>
      <c r="AH894" s="75"/>
      <c r="AI894" s="75"/>
      <c r="AJ894" s="75"/>
      <c r="AK894" s="75"/>
      <c r="AL894" s="75"/>
      <c r="AM894" s="75"/>
      <c r="AN894" s="75"/>
      <c r="AO894" s="75"/>
      <c r="AP894" s="75"/>
    </row>
    <row r="895" ht="46.5" customHeight="1">
      <c r="A895" s="1"/>
      <c r="B895" s="38" t="s">
        <v>2119</v>
      </c>
      <c r="C895" s="40" t="s">
        <v>2382</v>
      </c>
      <c r="D895" s="39" t="s">
        <v>2383</v>
      </c>
      <c r="E895" s="38"/>
      <c r="F895" s="38"/>
      <c r="G895" s="38"/>
      <c r="H895" s="39" t="s">
        <v>79</v>
      </c>
      <c r="I895" s="48" t="s">
        <v>2384</v>
      </c>
      <c r="J895" s="42" t="str">
        <f>IFERROR(__xludf.DUMMYFUNCTION("GOOGLETRANSLATE(I895,""en"",""pl"")"),"Licencja na pojedynczy kanał do analizy automatycznego wykrywania incydentów (AID) opartej na serwerze. Dotyczy zamówienia od 101 do 250 kanałów. Obejmuje aktualizacje oprogramowania w pierwszym roku, poprawki błędów, drobne nowe funkcje i zgłoszenia do p"&amp;"omocy technicznej w oparciu o 15 dni użytkowania. UWAGA DOTYCZĄCA ZAMÓWIENIA: Ostateczne zestawienie materiałów dla projektu AID wymaga weryfikacji. Prosimy o kontakt z lokalnym przedstawicielem handlowym.")</f>
        <v>Licencja na pojedynczy kanał do analizy automatycznego wykrywania incydentów (AID) opartej na serwerze. Dotyczy zamówienia od 101 do 250 kanałów. Obejmuje aktualizacje oprogramowania w pierwszym roku, poprawki błędów, drobne nowe funkcje i zgłoszenia do pomocy technicznej w oparciu o 15 dni użytkowania. UWAGA DOTYCZĄCA ZAMÓWIENIA: Ostateczne zestawienie materiałów dla projektu AID wymaga weryfikacji. Prosimy o kontakt z lokalnym przedstawicielem handlowym.</v>
      </c>
      <c r="K895" s="38"/>
      <c r="L895" s="44">
        <v>1090.34</v>
      </c>
      <c r="M895" s="8"/>
      <c r="N895" s="45" t="s">
        <v>22</v>
      </c>
      <c r="O895" s="97"/>
      <c r="P895" s="9"/>
      <c r="Q895" s="9"/>
      <c r="R895" s="59"/>
      <c r="S895" s="59"/>
      <c r="T895" s="59"/>
      <c r="U895" s="9"/>
      <c r="V895" s="9"/>
      <c r="W895" s="9"/>
      <c r="X895" s="9"/>
      <c r="Y895" s="9"/>
      <c r="Z895" s="9"/>
      <c r="AA895" s="9"/>
      <c r="AB895" s="9"/>
      <c r="AC895" s="101"/>
      <c r="AD895" s="75"/>
      <c r="AE895" s="75"/>
      <c r="AF895" s="75"/>
      <c r="AG895" s="75"/>
      <c r="AH895" s="75"/>
      <c r="AI895" s="75"/>
      <c r="AJ895" s="75"/>
      <c r="AK895" s="75"/>
      <c r="AL895" s="75"/>
      <c r="AM895" s="75"/>
      <c r="AN895" s="75"/>
      <c r="AO895" s="75"/>
      <c r="AP895" s="75"/>
    </row>
    <row r="896" ht="46.5" customHeight="1">
      <c r="A896" s="1"/>
      <c r="B896" s="38" t="s">
        <v>2119</v>
      </c>
      <c r="C896" s="40" t="s">
        <v>2385</v>
      </c>
      <c r="D896" s="39" t="s">
        <v>2386</v>
      </c>
      <c r="E896" s="38"/>
      <c r="F896" s="38"/>
      <c r="G896" s="38"/>
      <c r="H896" s="39" t="s">
        <v>79</v>
      </c>
      <c r="I896" s="48" t="s">
        <v>2387</v>
      </c>
      <c r="J896" s="42" t="str">
        <f>IFERROR(__xludf.DUMMYFUNCTION("GOOGLETRANSLATE(I896,""en"",""pl"")"),"Licencja na pojedynczy kanał do analizy automatycznego wykrywania incydentów (AID) opartej na serwerze. Dotyczy zamówienia od 251 do 500 kanałów. Obejmuje aktualizacje oprogramowania w pierwszym roku, poprawki błędów, drobne nowe funkcje i zgłoszenia do p"&amp;"omocy technicznej w oparciu o 25 dni użytkowania. UWAGA DOTYCZĄCA ZAMÓWIENIA: Ostateczne zestawienie materiałów dla projektu AID wymaga weryfikacji. Prosimy o kontakt z lokalnym przedstawicielem handlowym.")</f>
        <v>Licencja na pojedynczy kanał do analizy automatycznego wykrywania incydentów (AID) opartej na serwerze. Dotyczy zamówienia od 251 do 500 kanałów. Obejmuje aktualizacje oprogramowania w pierwszym roku, poprawki błędów, drobne nowe funkcje i zgłoszenia do pomocy technicznej w oparciu o 25 dni użytkowania. UWAGA DOTYCZĄCA ZAMÓWIENIA: Ostateczne zestawienie materiałów dla projektu AID wymaga weryfikacji. Prosimy o kontakt z lokalnym przedstawicielem handlowym.</v>
      </c>
      <c r="K896" s="38"/>
      <c r="L896" s="44">
        <v>934.58</v>
      </c>
      <c r="M896" s="8"/>
      <c r="N896" s="45" t="s">
        <v>22</v>
      </c>
      <c r="O896" s="97"/>
      <c r="P896" s="9"/>
      <c r="Q896" s="9"/>
      <c r="R896" s="59"/>
      <c r="S896" s="59"/>
      <c r="T896" s="59"/>
      <c r="U896" s="9"/>
      <c r="V896" s="9"/>
      <c r="W896" s="9"/>
      <c r="X896" s="9"/>
      <c r="Y896" s="9"/>
      <c r="Z896" s="9"/>
      <c r="AA896" s="9"/>
      <c r="AB896" s="9"/>
      <c r="AC896" s="101"/>
      <c r="AD896" s="75"/>
      <c r="AE896" s="75"/>
      <c r="AF896" s="75"/>
      <c r="AG896" s="75"/>
      <c r="AH896" s="75"/>
      <c r="AI896" s="75"/>
      <c r="AJ896" s="75"/>
      <c r="AK896" s="75"/>
      <c r="AL896" s="75"/>
      <c r="AM896" s="75"/>
      <c r="AN896" s="75"/>
      <c r="AO896" s="75"/>
      <c r="AP896" s="75"/>
    </row>
    <row r="897" ht="46.5" customHeight="1">
      <c r="A897" s="1"/>
      <c r="B897" s="38" t="s">
        <v>2119</v>
      </c>
      <c r="C897" s="40" t="s">
        <v>2388</v>
      </c>
      <c r="D897" s="39" t="s">
        <v>2389</v>
      </c>
      <c r="E897" s="38"/>
      <c r="F897" s="38"/>
      <c r="G897" s="38"/>
      <c r="H897" s="39" t="s">
        <v>79</v>
      </c>
      <c r="I897" s="48" t="s">
        <v>2390</v>
      </c>
      <c r="J897" s="42" t="str">
        <f>IFERROR(__xludf.DUMMYFUNCTION("GOOGLETRANSLATE(I897,""en"",""pl"")"),"Licencja na pojedynczy kanał do analizy automatycznego wykrywania incydentów (AID) opartej na serwerze. Dotyczy zamówień na 501–1000 kanałów. Obejmuje aktualizacje oprogramowania w pierwszym roku, poprawki błędów, drobne nowe funkcje i zgłoszenia do pomoc"&amp;"y technicznej w oparciu o 30 dni użytkowania. UWAGA DOTYCZĄCA ZAMÓWIENIA: Ostateczne zestawienie materiałów dla projektu AID wymaga weryfikacji. Prosimy o kontakt z lokalnym przedstawicielem handlowym.")</f>
        <v>Licencja na pojedynczy kanał do analizy automatycznego wykrywania incydentów (AID) opartej na serwerze. Dotyczy zamówień na 501–1000 kanałów. Obejmuje aktualizacje oprogramowania w pierwszym roku, poprawki błędów, drobne nowe funkcje i zgłoszenia do pomocy technicznej w oparciu o 30 dni użytkowania. UWAGA DOTYCZĄCA ZAMÓWIENIA: Ostateczne zestawienie materiałów dla projektu AID wymaga weryfikacji. Prosimy o kontakt z lokalnym przedstawicielem handlowym.</v>
      </c>
      <c r="K897" s="38"/>
      <c r="L897" s="44">
        <v>778.82</v>
      </c>
      <c r="M897" s="8"/>
      <c r="N897" s="45" t="s">
        <v>22</v>
      </c>
      <c r="O897" s="97"/>
      <c r="P897" s="9"/>
      <c r="Q897" s="9"/>
      <c r="R897" s="59"/>
      <c r="S897" s="59"/>
      <c r="T897" s="59"/>
      <c r="U897" s="9"/>
      <c r="V897" s="9"/>
      <c r="W897" s="9"/>
      <c r="X897" s="9"/>
      <c r="Y897" s="9"/>
      <c r="Z897" s="9"/>
      <c r="AA897" s="9"/>
      <c r="AB897" s="9"/>
      <c r="AC897" s="101"/>
      <c r="AD897" s="75"/>
      <c r="AE897" s="75"/>
      <c r="AF897" s="75"/>
      <c r="AG897" s="75"/>
      <c r="AH897" s="75"/>
      <c r="AI897" s="75"/>
      <c r="AJ897" s="75"/>
      <c r="AK897" s="75"/>
      <c r="AL897" s="75"/>
      <c r="AM897" s="75"/>
      <c r="AN897" s="75"/>
      <c r="AO897" s="75"/>
      <c r="AP897" s="75"/>
    </row>
    <row r="898" ht="46.5" customHeight="1">
      <c r="A898" s="1"/>
      <c r="B898" s="38" t="s">
        <v>2119</v>
      </c>
      <c r="C898" s="40" t="s">
        <v>2391</v>
      </c>
      <c r="D898" s="39" t="s">
        <v>2392</v>
      </c>
      <c r="E898" s="38"/>
      <c r="F898" s="38"/>
      <c r="G898" s="38"/>
      <c r="H898" s="39" t="s">
        <v>79</v>
      </c>
      <c r="I898" s="48" t="s">
        <v>2393</v>
      </c>
      <c r="J898" s="42" t="str">
        <f>IFERROR(__xludf.DUMMYFUNCTION("GOOGLETRANSLATE(I898,""en"",""pl"")"),"Licencja na pojedynczy kanał do analizy automatycznego wykrywania incydentów (AID) opartej na serwerze. Dotyczy zamówienia ponad 1000 kanałów. Obejmuje aktualizacje oprogramowania w pierwszym roku, poprawki błędów, drobne nowe funkcje i zgłoszenia do pomo"&amp;"cy technicznej w oparciu o 45 dni użytkowania. UWAGA DOTYCZĄCA ZAMÓWIENIA: Ostateczne zestawienie materiałów dla projektu AID wymaga weryfikacji. Prosimy o kontakt z lokalnym przedstawicielem handlowym.")</f>
        <v>Licencja na pojedynczy kanał do analizy automatycznego wykrywania incydentów (AID) opartej na serwerze. Dotyczy zamówienia ponad 1000 kanałów. Obejmuje aktualizacje oprogramowania w pierwszym roku, poprawki błędów, drobne nowe funkcje i zgłoszenia do pomocy technicznej w oparciu o 45 dni użytkowania. UWAGA DOTYCZĄCA ZAMÓWIENIA: Ostateczne zestawienie materiałów dla projektu AID wymaga weryfikacji. Prosimy o kontakt z lokalnym przedstawicielem handlowym.</v>
      </c>
      <c r="K898" s="38"/>
      <c r="L898" s="44">
        <v>623.05</v>
      </c>
      <c r="M898" s="8"/>
      <c r="N898" s="45" t="s">
        <v>22</v>
      </c>
      <c r="O898" s="97"/>
      <c r="P898" s="9"/>
      <c r="Q898" s="9"/>
      <c r="R898" s="59"/>
      <c r="S898" s="59"/>
      <c r="T898" s="59"/>
      <c r="U898" s="9"/>
      <c r="V898" s="9"/>
      <c r="W898" s="9"/>
      <c r="X898" s="9"/>
      <c r="Y898" s="9"/>
      <c r="Z898" s="9"/>
      <c r="AA898" s="9"/>
      <c r="AB898" s="9"/>
      <c r="AC898" s="101"/>
      <c r="AD898" s="75"/>
      <c r="AE898" s="75"/>
      <c r="AF898" s="75"/>
      <c r="AG898" s="75"/>
      <c r="AH898" s="75"/>
      <c r="AI898" s="75"/>
      <c r="AJ898" s="75"/>
      <c r="AK898" s="75"/>
      <c r="AL898" s="75"/>
      <c r="AM898" s="75"/>
      <c r="AN898" s="75"/>
      <c r="AO898" s="75"/>
      <c r="AP898" s="75"/>
    </row>
    <row r="899" ht="46.5" customHeight="1">
      <c r="A899" s="1"/>
      <c r="B899" s="38" t="s">
        <v>2119</v>
      </c>
      <c r="C899" s="40" t="s">
        <v>2394</v>
      </c>
      <c r="D899" s="39" t="s">
        <v>2395</v>
      </c>
      <c r="E899" s="38"/>
      <c r="F899" s="38"/>
      <c r="G899" s="38"/>
      <c r="H899" s="39" t="s">
        <v>79</v>
      </c>
      <c r="I899" s="48" t="s">
        <v>2396</v>
      </c>
      <c r="J899" s="42" t="str">
        <f>IFERROR(__xludf.DUMMYFUNCTION("GOOGLETRANSLATE(I899,""en"",""pl"")"),"Pakiet pierwszych 5 licencji kanałowych na internetowy interfejs do raportowania i oceny zdarzeń AID oraz danych statystycznych. UWAGA DOTYCZĄCA ZAMÓWIENIA: Ostateczny wykaz materiałów dla projektu AID wymaga weryfikacji. Prosimy o kontakt z lokalnym prze"&amp;"dstawicielem handlowym.")</f>
        <v>Pakiet pierwszych 5 licencji kanałowych na internetowy interfejs do raportowania i oceny zdarzeń AID oraz danych statystycznych. UWAGA DOTYCZĄCA ZAMÓWIENIA: Ostateczny wykaz materiałów dla projektu AID wymaga weryfikacji. Prosimy o kontakt z lokalnym przedstawicielem handlowym.</v>
      </c>
      <c r="K899" s="38"/>
      <c r="L899" s="122" t="s">
        <v>2147</v>
      </c>
      <c r="M899" s="8"/>
      <c r="N899" s="45" t="s">
        <v>81</v>
      </c>
      <c r="O899" s="58"/>
      <c r="P899" s="9"/>
      <c r="Q899" s="9"/>
      <c r="R899" s="59"/>
      <c r="S899" s="59"/>
      <c r="T899" s="59"/>
      <c r="U899" s="9"/>
      <c r="V899" s="9"/>
      <c r="W899" s="9"/>
      <c r="X899" s="9"/>
      <c r="Y899" s="9"/>
      <c r="Z899" s="9"/>
      <c r="AA899" s="9"/>
      <c r="AB899" s="9"/>
      <c r="AC899" s="101"/>
      <c r="AD899" s="75"/>
      <c r="AE899" s="75"/>
      <c r="AF899" s="75"/>
      <c r="AG899" s="75"/>
      <c r="AH899" s="75"/>
      <c r="AI899" s="75"/>
      <c r="AJ899" s="75"/>
      <c r="AK899" s="75"/>
      <c r="AL899" s="75"/>
      <c r="AM899" s="75"/>
      <c r="AN899" s="75"/>
      <c r="AO899" s="75"/>
      <c r="AP899" s="75"/>
    </row>
    <row r="900" ht="46.5" customHeight="1">
      <c r="A900" s="1"/>
      <c r="B900" s="38" t="s">
        <v>2119</v>
      </c>
      <c r="C900" s="40" t="s">
        <v>2397</v>
      </c>
      <c r="D900" s="39" t="s">
        <v>2398</v>
      </c>
      <c r="E900" s="38"/>
      <c r="F900" s="38"/>
      <c r="G900" s="38"/>
      <c r="H900" s="39" t="s">
        <v>79</v>
      </c>
      <c r="I900" s="48" t="s">
        <v>2399</v>
      </c>
      <c r="J900" s="42" t="str">
        <f>IFERROR(__xludf.DUMMYFUNCTION("GOOGLETRANSLATE(I900,""en"",""pl"")"),"Pakiet 20 licencji kanałowych na internetowy interfejs do raportowania i oceny zdarzeń AID oraz danych statystycznych. UWAGA DOTYCZĄCA ZAMÓWIENIA: Ostateczny wykaz materiałów dla projektu AID wymaga weryfikacji. Prosimy o kontakt z lokalnym przedstawiciel"&amp;"em handlowym.")</f>
        <v>Pakiet 20 licencji kanałowych na internetowy interfejs do raportowania i oceny zdarzeń AID oraz danych statystycznych. UWAGA DOTYCZĄCA ZAMÓWIENIA: Ostateczny wykaz materiałów dla projektu AID wymaga weryfikacji. Prosimy o kontakt z lokalnym przedstawicielem handlowym.</v>
      </c>
      <c r="K900" s="38"/>
      <c r="L900" s="44">
        <v>1557.63</v>
      </c>
      <c r="M900" s="8"/>
      <c r="N900" s="45" t="s">
        <v>22</v>
      </c>
      <c r="O900" s="97"/>
      <c r="P900" s="9"/>
      <c r="Q900" s="9"/>
      <c r="R900" s="59"/>
      <c r="S900" s="59"/>
      <c r="T900" s="59"/>
      <c r="U900" s="9"/>
      <c r="V900" s="9"/>
      <c r="W900" s="9"/>
      <c r="X900" s="9"/>
      <c r="Y900" s="9"/>
      <c r="Z900" s="9"/>
      <c r="AA900" s="9"/>
      <c r="AB900" s="9"/>
      <c r="AC900" s="101"/>
      <c r="AD900" s="75"/>
      <c r="AE900" s="75"/>
      <c r="AF900" s="75"/>
      <c r="AG900" s="75"/>
      <c r="AH900" s="75"/>
      <c r="AI900" s="75"/>
      <c r="AJ900" s="75"/>
      <c r="AK900" s="75"/>
      <c r="AL900" s="75"/>
      <c r="AM900" s="75"/>
      <c r="AN900" s="75"/>
      <c r="AO900" s="75"/>
      <c r="AP900" s="75"/>
    </row>
    <row r="901" ht="46.5" customHeight="1">
      <c r="A901" s="1"/>
      <c r="B901" s="38" t="s">
        <v>2119</v>
      </c>
      <c r="C901" s="40" t="s">
        <v>2400</v>
      </c>
      <c r="D901" s="39" t="s">
        <v>2401</v>
      </c>
      <c r="E901" s="38"/>
      <c r="F901" s="38"/>
      <c r="G901" s="38"/>
      <c r="H901" s="39" t="s">
        <v>79</v>
      </c>
      <c r="I901" s="48" t="s">
        <v>2402</v>
      </c>
      <c r="J901" s="42" t="str">
        <f>IFERROR(__xludf.DUMMYFUNCTION("GOOGLETRANSLATE(I901,""en"",""pl"")"),"Pakiet 50 licencji kanałowych na internetowy interfejs do raportowania i oceny zdarzeń AID oraz danych statystycznych. UWAGA DOTYCZĄCA ZAMÓWIENIA: Ostateczny wykaz materiałów dla projektu AID wymaga weryfikacji. Prosimy o kontakt z lokalnym przedstawiciel"&amp;"em handlowym.")</f>
        <v>Pakiet 50 licencji kanałowych na internetowy interfejs do raportowania i oceny zdarzeń AID oraz danych statystycznych. UWAGA DOTYCZĄCA ZAMÓWIENIA: Ostateczny wykaz materiałów dla projektu AID wymaga weryfikacji. Prosimy o kontakt z lokalnym przedstawicielem handlowym.</v>
      </c>
      <c r="K901" s="38"/>
      <c r="L901" s="44">
        <v>3115.26</v>
      </c>
      <c r="M901" s="8"/>
      <c r="N901" s="45" t="s">
        <v>22</v>
      </c>
      <c r="O901" s="97"/>
      <c r="P901" s="9"/>
      <c r="Q901" s="9"/>
      <c r="R901" s="59"/>
      <c r="S901" s="59"/>
      <c r="T901" s="59"/>
      <c r="U901" s="9"/>
      <c r="V901" s="9"/>
      <c r="W901" s="9"/>
      <c r="X901" s="9"/>
      <c r="Y901" s="9"/>
      <c r="Z901" s="9"/>
      <c r="AA901" s="9"/>
      <c r="AB901" s="9"/>
      <c r="AC901" s="101"/>
      <c r="AD901" s="75"/>
      <c r="AE901" s="75"/>
      <c r="AF901" s="75"/>
      <c r="AG901" s="75"/>
      <c r="AH901" s="75"/>
      <c r="AI901" s="75"/>
      <c r="AJ901" s="75"/>
      <c r="AK901" s="75"/>
      <c r="AL901" s="75"/>
      <c r="AM901" s="75"/>
      <c r="AN901" s="75"/>
      <c r="AO901" s="75"/>
      <c r="AP901" s="75"/>
    </row>
    <row r="902" ht="46.5" customHeight="1">
      <c r="A902" s="1"/>
      <c r="B902" s="38" t="s">
        <v>2119</v>
      </c>
      <c r="C902" s="40" t="s">
        <v>2403</v>
      </c>
      <c r="D902" s="39" t="s">
        <v>2404</v>
      </c>
      <c r="E902" s="38"/>
      <c r="F902" s="38"/>
      <c r="G902" s="38"/>
      <c r="H902" s="39" t="s">
        <v>79</v>
      </c>
      <c r="I902" s="48" t="s">
        <v>2405</v>
      </c>
      <c r="J902" s="42" t="str">
        <f>IFERROR(__xludf.DUMMYFUNCTION("GOOGLETRANSLATE(I902,""en"",""pl"")"),"Pakiet licencji umożliwiający połączenie do 2 serwerów zarządzających w celu ujednolicenia wielu lokalizacji i centralnego monitorowania. Wymagany jest interfejs internetowy A2-AID-INTERFACE-xx. UWAGA DOTYCZĄCA ZAMÓWIENIA: Ostateczne zestawienie materiałó"&amp;"w dla projektu AID wymaga weryfikacji. Prosimy o kontakt z lokalnym przedstawicielem handlowym.")</f>
        <v>Pakiet licencji umożliwiający połączenie do 2 serwerów zarządzających w celu ujednolicenia wielu lokalizacji i centralnego monitorowania. Wymagany jest interfejs internetowy A2-AID-INTERFACE-xx. UWAGA DOTYCZĄCA ZAMÓWIENIA: Ostateczne zestawienie materiałów dla projektu AID wymaga weryfikacji. Prosimy o kontakt z lokalnym przedstawicielem handlowym.</v>
      </c>
      <c r="K902" s="38"/>
      <c r="L902" s="44">
        <v>7788.16</v>
      </c>
      <c r="M902" s="8"/>
      <c r="N902" s="45" t="s">
        <v>22</v>
      </c>
      <c r="O902" s="97"/>
      <c r="P902" s="9"/>
      <c r="Q902" s="9"/>
      <c r="R902" s="59"/>
      <c r="S902" s="59"/>
      <c r="T902" s="59"/>
      <c r="U902" s="9"/>
      <c r="V902" s="9"/>
      <c r="W902" s="9"/>
      <c r="X902" s="9"/>
      <c r="Y902" s="9"/>
      <c r="Z902" s="9"/>
      <c r="AA902" s="9"/>
      <c r="AB902" s="9"/>
      <c r="AC902" s="101"/>
      <c r="AD902" s="75"/>
      <c r="AE902" s="75"/>
      <c r="AF902" s="75"/>
      <c r="AG902" s="75"/>
      <c r="AH902" s="75"/>
      <c r="AI902" s="75"/>
      <c r="AJ902" s="75"/>
      <c r="AK902" s="75"/>
      <c r="AL902" s="75"/>
      <c r="AM902" s="75"/>
      <c r="AN902" s="75"/>
      <c r="AO902" s="75"/>
      <c r="AP902" s="75"/>
    </row>
    <row r="903" ht="46.5" customHeight="1">
      <c r="A903" s="1"/>
      <c r="B903" s="38" t="s">
        <v>2119</v>
      </c>
      <c r="C903" s="40" t="s">
        <v>2406</v>
      </c>
      <c r="D903" s="39" t="s">
        <v>2407</v>
      </c>
      <c r="E903" s="38"/>
      <c r="F903" s="38"/>
      <c r="G903" s="38"/>
      <c r="H903" s="39" t="s">
        <v>79</v>
      </c>
      <c r="I903" s="48" t="s">
        <v>2408</v>
      </c>
      <c r="J903" s="42" t="str">
        <f>IFERROR(__xludf.DUMMYFUNCTION("GOOGLETRANSLATE(I903,""en"",""pl"")"),"Pakiet licencji umożliwiający podłączenie do 4 serwerów zarządzających w celu ujednolicenia wielu lokalizacji i centralnego monitorowania. Wymagany jest interfejs internetowy A2-AID-INTERFACE-xx. UWAGA DOTYCZĄCA ZAMÓWIENIA: Ostateczne zestawienie materiał"&amp;"ów dla projektu AID wymaga weryfikacji. Prosimy o kontakt z lokalnym przedstawicielem handlowym.")</f>
        <v>Pakiet licencji umożliwiający podłączenie do 4 serwerów zarządzających w celu ujednolicenia wielu lokalizacji i centralnego monitorowania. Wymagany jest interfejs internetowy A2-AID-INTERFACE-xx. UWAGA DOTYCZĄCA ZAMÓWIENIA: Ostateczne zestawienie materiałów dla projektu AID wymaga weryfikacji. Prosimy o kontakt z lokalnym przedstawicielem handlowym.</v>
      </c>
      <c r="K903" s="38"/>
      <c r="L903" s="44">
        <v>10903.43</v>
      </c>
      <c r="M903" s="8"/>
      <c r="N903" s="45" t="s">
        <v>22</v>
      </c>
      <c r="O903" s="97"/>
      <c r="P903" s="9"/>
      <c r="Q903" s="9"/>
      <c r="R903" s="59"/>
      <c r="S903" s="59"/>
      <c r="T903" s="59"/>
      <c r="U903" s="9"/>
      <c r="V903" s="9"/>
      <c r="W903" s="9"/>
      <c r="X903" s="9"/>
      <c r="Y903" s="9"/>
      <c r="Z903" s="9"/>
      <c r="AA903" s="9"/>
      <c r="AB903" s="9"/>
      <c r="AC903" s="101"/>
      <c r="AD903" s="75"/>
      <c r="AE903" s="75"/>
      <c r="AF903" s="75"/>
      <c r="AG903" s="75"/>
      <c r="AH903" s="75"/>
      <c r="AI903" s="75"/>
      <c r="AJ903" s="75"/>
      <c r="AK903" s="75"/>
      <c r="AL903" s="75"/>
      <c r="AM903" s="75"/>
      <c r="AN903" s="75"/>
      <c r="AO903" s="75"/>
      <c r="AP903" s="75"/>
    </row>
    <row r="904" ht="46.5" customHeight="1">
      <c r="A904" s="1"/>
      <c r="B904" s="38" t="s">
        <v>2119</v>
      </c>
      <c r="C904" s="40" t="s">
        <v>2409</v>
      </c>
      <c r="D904" s="39" t="s">
        <v>2410</v>
      </c>
      <c r="E904" s="38"/>
      <c r="F904" s="38"/>
      <c r="G904" s="38"/>
      <c r="H904" s="39" t="s">
        <v>79</v>
      </c>
      <c r="I904" s="48" t="s">
        <v>2411</v>
      </c>
      <c r="J904" s="42" t="str">
        <f>IFERROR(__xludf.DUMMYFUNCTION("GOOGLETRANSLATE(I904,""en"",""pl"")"),"Pakiet licencji umożliwiający podłączenie do 8 serwerów zarządzających w celu ujednolicenia wielu lokalizacji i centralnego monitorowania. Wymagany jest interfejs internetowy A2-AID-INTERFACE-xx. UWAGA DOTYCZĄCA ZAMÓWIENIA: Ostateczne zestawienie materiał"&amp;"ów dla projektu AID wymaga weryfikacji. Prosimy o kontakt z lokalnym przedstawicielem handlowym.")</f>
        <v>Pakiet licencji umożliwiający podłączenie do 8 serwerów zarządzających w celu ujednolicenia wielu lokalizacji i centralnego monitorowania. Wymagany jest interfejs internetowy A2-AID-INTERFACE-xx. UWAGA DOTYCZĄCA ZAMÓWIENIA: Ostateczne zestawienie materiałów dla projektu AID wymaga weryfikacji. Prosimy o kontakt z lokalnym przedstawicielem handlowym.</v>
      </c>
      <c r="K904" s="38"/>
      <c r="L904" s="44">
        <v>15576.32</v>
      </c>
      <c r="M904" s="8"/>
      <c r="N904" s="45" t="s">
        <v>22</v>
      </c>
      <c r="O904" s="97"/>
      <c r="P904" s="9"/>
      <c r="Q904" s="9"/>
      <c r="R904" s="59"/>
      <c r="S904" s="59"/>
      <c r="T904" s="59"/>
      <c r="U904" s="9"/>
      <c r="V904" s="9"/>
      <c r="W904" s="9"/>
      <c r="X904" s="9"/>
      <c r="Y904" s="9"/>
      <c r="Z904" s="9"/>
      <c r="AA904" s="9"/>
      <c r="AB904" s="9"/>
      <c r="AC904" s="101"/>
      <c r="AD904" s="75"/>
      <c r="AE904" s="75"/>
      <c r="AF904" s="75"/>
      <c r="AG904" s="75"/>
      <c r="AH904" s="75"/>
      <c r="AI904" s="75"/>
      <c r="AJ904" s="75"/>
      <c r="AK904" s="75"/>
      <c r="AL904" s="75"/>
      <c r="AM904" s="75"/>
      <c r="AN904" s="75"/>
      <c r="AO904" s="75"/>
      <c r="AP904" s="75"/>
    </row>
    <row r="905" ht="46.5" customHeight="1">
      <c r="A905" s="1"/>
      <c r="B905" s="38" t="s">
        <v>2119</v>
      </c>
      <c r="C905" s="40" t="s">
        <v>2412</v>
      </c>
      <c r="D905" s="39" t="s">
        <v>2413</v>
      </c>
      <c r="E905" s="38"/>
      <c r="F905" s="38"/>
      <c r="G905" s="38"/>
      <c r="H905" s="39" t="s">
        <v>79</v>
      </c>
      <c r="I905" s="48" t="s">
        <v>2414</v>
      </c>
      <c r="J905" s="42" t="str">
        <f>IFERROR(__xludf.DUMMYFUNCTION("GOOGLETRANSLATE(I905,""en"",""pl"")"),"Licencja na moduł integracyjny dla pojedynczego serwera zarządzającego. Umożliwia integrację z Wisenet WAVE VMS i protokołami takimi jak MODBUS i OPC. UWAGA DOTYCZĄCA ZAMÓWIENIA: Ostateczny wykaz materiałów dla projektu AID wymaga weryfikacji. Prosimy o k"&amp;"ontakt z lokalnym przedstawicielem handlowym.")</f>
        <v>Licencja na moduł integracyjny dla pojedynczego serwera zarządzającego. Umożliwia integrację z Wisenet WAVE VMS i protokołami takimi jak MODBUS i OPC. UWAGA DOTYCZĄCA ZAMÓWIENIA: Ostateczny wykaz materiałów dla projektu AID wymaga weryfikacji. Prosimy o kontakt z lokalnym przedstawicielem handlowym.</v>
      </c>
      <c r="K905" s="38"/>
      <c r="L905" s="44">
        <v>1557.63</v>
      </c>
      <c r="M905" s="8"/>
      <c r="N905" s="45" t="s">
        <v>22</v>
      </c>
      <c r="O905" s="97"/>
      <c r="P905" s="9"/>
      <c r="Q905" s="9"/>
      <c r="R905" s="59"/>
      <c r="S905" s="59"/>
      <c r="T905" s="59"/>
      <c r="U905" s="9"/>
      <c r="V905" s="9"/>
      <c r="W905" s="9"/>
      <c r="X905" s="9"/>
      <c r="Y905" s="9"/>
      <c r="Z905" s="9"/>
      <c r="AA905" s="9"/>
      <c r="AB905" s="9"/>
      <c r="AC905" s="101"/>
      <c r="AD905" s="75"/>
      <c r="AE905" s="75"/>
      <c r="AF905" s="75"/>
      <c r="AG905" s="75"/>
      <c r="AH905" s="75"/>
      <c r="AI905" s="75"/>
      <c r="AJ905" s="75"/>
      <c r="AK905" s="75"/>
      <c r="AL905" s="75"/>
      <c r="AM905" s="75"/>
      <c r="AN905" s="75"/>
      <c r="AO905" s="75"/>
      <c r="AP905" s="75"/>
    </row>
    <row r="906" ht="46.5" customHeight="1">
      <c r="A906" s="1"/>
      <c r="B906" s="38" t="s">
        <v>2119</v>
      </c>
      <c r="C906" s="40" t="s">
        <v>2415</v>
      </c>
      <c r="D906" s="39" t="s">
        <v>2416</v>
      </c>
      <c r="E906" s="38"/>
      <c r="F906" s="38"/>
      <c r="G906" s="38"/>
      <c r="H906" s="39" t="s">
        <v>79</v>
      </c>
      <c r="I906" s="48" t="s">
        <v>2417</v>
      </c>
      <c r="J906" s="42" t="str">
        <f>IFERROR(__xludf.DUMMYFUNCTION("GOOGLETRANSLATE(I906,""en"",""pl"")"),"Stawka dzienna za zdalne usługi profesjonalne, obejmujące konfigurację systemu, kalibrację, testowanie i szkolenie. UWAGA DOTYCZĄCA ZAMÓWIENIA: Ostateczny wykaz materiałów dla projektu AID wymaga zatwierdzenia. Prosimy o kontakt z lokalnym przedstawiciele"&amp;"m handlowym.")</f>
        <v>Stawka dzienna za zdalne usługi profesjonalne, obejmujące konfigurację systemu, kalibrację, testowanie i szkolenie. UWAGA DOTYCZĄCA ZAMÓWIENIA: Ostateczny wykaz materiałów dla projektu AID wymaga zatwierdzenia. Prosimy o kontakt z lokalnym przedstawicielem handlowym.</v>
      </c>
      <c r="K906" s="38"/>
      <c r="L906" s="44">
        <v>1090.34</v>
      </c>
      <c r="M906" s="8"/>
      <c r="N906" s="45" t="s">
        <v>22</v>
      </c>
      <c r="O906" s="97"/>
      <c r="P906" s="9"/>
      <c r="Q906" s="9"/>
      <c r="R906" s="59"/>
      <c r="S906" s="59"/>
      <c r="T906" s="59"/>
      <c r="U906" s="9"/>
      <c r="V906" s="9"/>
      <c r="W906" s="9"/>
      <c r="X906" s="9"/>
      <c r="Y906" s="9"/>
      <c r="Z906" s="9"/>
      <c r="AA906" s="9"/>
      <c r="AB906" s="9"/>
      <c r="AC906" s="101"/>
      <c r="AD906" s="75"/>
      <c r="AE906" s="75"/>
      <c r="AF906" s="75"/>
      <c r="AG906" s="75"/>
      <c r="AH906" s="75"/>
      <c r="AI906" s="75"/>
      <c r="AJ906" s="75"/>
      <c r="AK906" s="75"/>
      <c r="AL906" s="75"/>
      <c r="AM906" s="75"/>
      <c r="AN906" s="75"/>
      <c r="AO906" s="75"/>
      <c r="AP906" s="75"/>
    </row>
    <row r="907" ht="46.5" customHeight="1">
      <c r="A907" s="1"/>
      <c r="B907" s="38" t="s">
        <v>2119</v>
      </c>
      <c r="C907" s="40" t="s">
        <v>2418</v>
      </c>
      <c r="D907" s="39" t="s">
        <v>2419</v>
      </c>
      <c r="E907" s="38"/>
      <c r="F907" s="38"/>
      <c r="G907" s="38"/>
      <c r="H907" s="39" t="s">
        <v>79</v>
      </c>
      <c r="I907" s="48" t="s">
        <v>2420</v>
      </c>
      <c r="J907" s="42" t="str">
        <f>IFERROR(__xludf.DUMMYFUNCTION("GOOGLETRANSLATE(I907,""en"",""pl"")"),"Stawka godzinowa za zdalne usługi profesjonalne, obejmujące konfigurację systemu, kalibrację, testowanie i szkolenie. UWAGA DOTYCZĄCA ZAMÓWIENIA: Ostateczny wykaz materiałów dla projektu AID wymaga zatwierdzenia. Prosimy o kontakt z lokalnym przedstawicie"&amp;"lem handlowym.")</f>
        <v>Stawka godzinowa za zdalne usługi profesjonalne, obejmujące konfigurację systemu, kalibrację, testowanie i szkolenie. UWAGA DOTYCZĄCA ZAMÓWIENIA: Ostateczny wykaz materiałów dla projektu AID wymaga zatwierdzenia. Prosimy o kontakt z lokalnym przedstawicielem handlowym.</v>
      </c>
      <c r="K907" s="38"/>
      <c r="L907" s="44">
        <v>155.76</v>
      </c>
      <c r="M907" s="8"/>
      <c r="N907" s="45" t="s">
        <v>22</v>
      </c>
      <c r="O907" s="97"/>
      <c r="P907" s="9"/>
      <c r="Q907" s="9"/>
      <c r="R907" s="59"/>
      <c r="S907" s="59"/>
      <c r="T907" s="59"/>
      <c r="U907" s="9"/>
      <c r="V907" s="9"/>
      <c r="W907" s="9"/>
      <c r="X907" s="9"/>
      <c r="Y907" s="9"/>
      <c r="Z907" s="9"/>
      <c r="AA907" s="9"/>
      <c r="AB907" s="9"/>
      <c r="AC907" s="101"/>
      <c r="AD907" s="75"/>
      <c r="AE907" s="75"/>
      <c r="AF907" s="75"/>
      <c r="AG907" s="75"/>
      <c r="AH907" s="75"/>
      <c r="AI907" s="75"/>
      <c r="AJ907" s="75"/>
      <c r="AK907" s="75"/>
      <c r="AL907" s="75"/>
      <c r="AM907" s="75"/>
      <c r="AN907" s="75"/>
      <c r="AO907" s="75"/>
      <c r="AP907" s="75"/>
    </row>
    <row r="908" ht="30.0" customHeight="1">
      <c r="A908" s="1"/>
      <c r="B908" s="129" t="s">
        <v>2421</v>
      </c>
      <c r="C908" s="113"/>
      <c r="D908" s="113"/>
      <c r="E908" s="144"/>
      <c r="F908" s="144"/>
      <c r="G908" s="144"/>
      <c r="H908" s="94"/>
      <c r="I908" s="113"/>
      <c r="J908" s="42" t="str">
        <f>IFERROR(__xludf.DUMMYFUNCTION("GOOGLETRANSLATE(I908,""en"",""pl"")"),"#VALUE!")</f>
        <v>#VALUE!</v>
      </c>
      <c r="K908" s="144"/>
      <c r="L908" s="114"/>
      <c r="M908" s="115"/>
      <c r="N908" s="96"/>
      <c r="O908" s="146"/>
      <c r="P908" s="11"/>
      <c r="Q908" s="9"/>
      <c r="R908" s="59"/>
      <c r="S908" s="59"/>
      <c r="T908" s="59"/>
      <c r="U908" s="9"/>
      <c r="V908" s="9"/>
      <c r="W908" s="9"/>
      <c r="X908" s="9"/>
      <c r="Y908" s="9"/>
      <c r="Z908" s="9"/>
      <c r="AA908" s="9"/>
      <c r="AB908" s="9"/>
      <c r="AC908" s="60"/>
      <c r="AD908" s="61"/>
      <c r="AE908" s="61"/>
      <c r="AF908" s="61"/>
      <c r="AG908" s="61"/>
      <c r="AH908" s="61"/>
      <c r="AI908" s="61"/>
      <c r="AJ908" s="61"/>
      <c r="AK908" s="61"/>
      <c r="AL908" s="61"/>
      <c r="AM908" s="61"/>
      <c r="AN908" s="61"/>
      <c r="AO908" s="61"/>
      <c r="AP908" s="61"/>
    </row>
    <row r="909" ht="46.5" customHeight="1">
      <c r="A909" s="1"/>
      <c r="B909" s="151" t="s">
        <v>76</v>
      </c>
      <c r="C909" s="152" t="s">
        <v>83</v>
      </c>
      <c r="D909" s="152" t="s">
        <v>84</v>
      </c>
      <c r="E909" s="151"/>
      <c r="F909" s="151"/>
      <c r="G909" s="151"/>
      <c r="H909" s="153" t="s">
        <v>79</v>
      </c>
      <c r="I909" s="154" t="s">
        <v>85</v>
      </c>
      <c r="J909" s="42" t="str">
        <f>IFERROR(__xludf.DUMMYFUNCTION("GOOGLETRANSLATE(I909,""en"",""pl"")"),"Dysk twardy Seagate SkyHawk 2TB 3,5"" do systemów monitoringu do użytku w rejestratorach NVR/DVR, SATA 6 Gb/s, maks. stała prędkość transferu 180 MB/s, pamięć podręczna 256 MB, średni pobór mocy podczas pracy/w stanie spoczynku 3,7 W/2,5 W, średni czas be"&amp;"zawaryjnej pracy (MTBF) 1 mln godzin, WRL 180 TB/rok, w zestawie usługi SkyHawk Health Management i Rescue Data Recovery (ST2000VX017)")</f>
        <v>Dysk twardy Seagate SkyHawk 2TB 3,5" do systemów monitoringu do użytku w rejestratorach NVR/DVR, SATA 6 Gb/s, maks. stała prędkość transferu 180 MB/s, pamięć podręczna 256 MB, średni pobór mocy podczas pracy/w stanie spoczynku 3,7 W/2,5 W, średni czas bezawaryjnej pracy (MTBF) 1 mln godzin, WRL 180 TB/rok, w zestawie usługi SkyHawk Health Management i Rescue Data Recovery (ST2000VX017)</v>
      </c>
      <c r="K909" s="151"/>
      <c r="L909" s="55">
        <v>195.0</v>
      </c>
      <c r="M909" s="8"/>
      <c r="N909" s="45" t="s">
        <v>81</v>
      </c>
      <c r="O909" s="97"/>
      <c r="P909" s="11"/>
      <c r="Q909" s="9"/>
      <c r="R909" s="59"/>
      <c r="S909" s="59"/>
      <c r="T909" s="59"/>
      <c r="U909" s="9"/>
      <c r="V909" s="9"/>
      <c r="W909" s="9"/>
      <c r="X909" s="9"/>
      <c r="Y909" s="9"/>
      <c r="Z909" s="9"/>
      <c r="AA909" s="9"/>
      <c r="AB909" s="9"/>
      <c r="AC909" s="60"/>
      <c r="AD909" s="61"/>
      <c r="AE909" s="61"/>
      <c r="AF909" s="61"/>
      <c r="AG909" s="61"/>
      <c r="AH909" s="61"/>
      <c r="AI909" s="61"/>
      <c r="AJ909" s="61"/>
      <c r="AK909" s="61"/>
      <c r="AL909" s="61"/>
      <c r="AM909" s="61"/>
      <c r="AN909" s="61"/>
      <c r="AO909" s="61"/>
      <c r="AP909" s="61"/>
    </row>
    <row r="910" ht="46.5" customHeight="1">
      <c r="A910" s="1"/>
      <c r="B910" s="151" t="s">
        <v>76</v>
      </c>
      <c r="C910" s="152" t="s">
        <v>86</v>
      </c>
      <c r="D910" s="152" t="s">
        <v>87</v>
      </c>
      <c r="E910" s="151"/>
      <c r="F910" s="151"/>
      <c r="G910" s="151"/>
      <c r="H910" s="155" t="s">
        <v>79</v>
      </c>
      <c r="I910" s="154" t="s">
        <v>88</v>
      </c>
      <c r="J910" s="42" t="str">
        <f>IFERROR(__xludf.DUMMYFUNCTION("GOOGLETRANSLATE(I910,""en"",""pl"")"),"Dysk twardy Seagate SkyHawk 4TB 3,5"" do systemów monitoringu do użytku w rejestratorach NVR/DVR, SATA 6 Gb/s, maks. stała prędkość transferu 180 MB/s, pamięć podręczna 256 MB, średni pobór mocy podczas pracy/w stanie spoczynku 3,7 W/2,5 W, średni czas be"&amp;"zawaryjnej pracy (MTBF) 1 mln godzin, WRL 180 TB/rok, usługi SkyHawk Health Management i Rescue Data Recovery Services (ST4000VX016)")</f>
        <v>Dysk twardy Seagate SkyHawk 4TB 3,5" do systemów monitoringu do użytku w rejestratorach NVR/DVR, SATA 6 Gb/s, maks. stała prędkość transferu 180 MB/s, pamięć podręczna 256 MB, średni pobór mocy podczas pracy/w stanie spoczynku 3,7 W/2,5 W, średni czas bezawaryjnej pracy (MTBF) 1 mln godzin, WRL 180 TB/rok, usługi SkyHawk Health Management i Rescue Data Recovery Services (ST4000VX016)</v>
      </c>
      <c r="K910" s="151"/>
      <c r="L910" s="55">
        <v>271.0</v>
      </c>
      <c r="M910" s="8"/>
      <c r="N910" s="45" t="s">
        <v>81</v>
      </c>
      <c r="O910" s="97"/>
      <c r="P910" s="11"/>
      <c r="Q910" s="9"/>
      <c r="R910" s="59"/>
      <c r="S910" s="59"/>
      <c r="T910" s="59"/>
      <c r="U910" s="9"/>
      <c r="V910" s="9"/>
      <c r="W910" s="9"/>
      <c r="X910" s="9"/>
      <c r="Y910" s="9"/>
      <c r="Z910" s="9"/>
      <c r="AA910" s="9"/>
      <c r="AB910" s="9"/>
      <c r="AC910" s="60"/>
      <c r="AD910" s="61"/>
      <c r="AE910" s="61"/>
      <c r="AF910" s="61"/>
      <c r="AG910" s="61"/>
      <c r="AH910" s="61"/>
      <c r="AI910" s="61"/>
      <c r="AJ910" s="61"/>
      <c r="AK910" s="61"/>
      <c r="AL910" s="61"/>
      <c r="AM910" s="61"/>
      <c r="AN910" s="61"/>
      <c r="AO910" s="61"/>
      <c r="AP910" s="61"/>
    </row>
    <row r="911" ht="46.5" customHeight="1">
      <c r="A911" s="1"/>
      <c r="B911" s="151" t="s">
        <v>76</v>
      </c>
      <c r="C911" s="152" t="s">
        <v>89</v>
      </c>
      <c r="D911" s="152" t="s">
        <v>90</v>
      </c>
      <c r="E911" s="151"/>
      <c r="F911" s="151"/>
      <c r="G911" s="151"/>
      <c r="H911" s="155" t="s">
        <v>79</v>
      </c>
      <c r="I911" s="154" t="s">
        <v>91</v>
      </c>
      <c r="J911" s="42" t="str">
        <f>IFERROR(__xludf.DUMMYFUNCTION("GOOGLETRANSLATE(I911,""en"",""pl"")"),"Dysk twardy Seagate SkyHawk 6TB 3,5"" do systemów monitoringu do użytku w rejestratorach NVR/DVR, SATA 6 Gb/s, 1 mln godzin MTBF, limit obciążenia 180 TB/rok, SkyHawk Health Management (ST6000VX009)")</f>
        <v>Dysk twardy Seagate SkyHawk 6TB 3,5" do systemów monitoringu do użytku w rejestratorach NVR/DVR, SATA 6 Gb/s, 1 mln godzin MTBF, limit obciążenia 180 TB/rok, SkyHawk Health Management (ST6000VX009)</v>
      </c>
      <c r="K911" s="151"/>
      <c r="L911" s="55">
        <v>408.0</v>
      </c>
      <c r="M911" s="8"/>
      <c r="N911" s="45" t="s">
        <v>81</v>
      </c>
      <c r="O911" s="97"/>
      <c r="P911" s="11"/>
      <c r="Q911" s="9"/>
      <c r="R911" s="59"/>
      <c r="S911" s="59"/>
      <c r="T911" s="59"/>
      <c r="U911" s="9"/>
      <c r="V911" s="9"/>
      <c r="W911" s="9"/>
      <c r="X911" s="9"/>
      <c r="Y911" s="9"/>
      <c r="Z911" s="9"/>
      <c r="AA911" s="9"/>
      <c r="AB911" s="9"/>
      <c r="AC911" s="60"/>
      <c r="AD911" s="61"/>
      <c r="AE911" s="61"/>
      <c r="AF911" s="61"/>
      <c r="AG911" s="61"/>
      <c r="AH911" s="61"/>
      <c r="AI911" s="61"/>
      <c r="AJ911" s="61"/>
      <c r="AK911" s="61"/>
      <c r="AL911" s="61"/>
      <c r="AM911" s="61"/>
      <c r="AN911" s="61"/>
      <c r="AO911" s="61"/>
      <c r="AP911" s="61"/>
    </row>
    <row r="912" ht="46.5" customHeight="1">
      <c r="A912" s="1"/>
      <c r="B912" s="151" t="s">
        <v>76</v>
      </c>
      <c r="C912" s="152" t="s">
        <v>92</v>
      </c>
      <c r="D912" s="152" t="s">
        <v>93</v>
      </c>
      <c r="E912" s="151"/>
      <c r="F912" s="151"/>
      <c r="G912" s="151"/>
      <c r="H912" s="155" t="s">
        <v>79</v>
      </c>
      <c r="I912" s="154" t="s">
        <v>94</v>
      </c>
      <c r="J912" s="42" t="str">
        <f>IFERROR(__xludf.DUMMYFUNCTION("GOOGLETRANSLATE(I912,""en"",""pl"")"),"Dysk twardy Seagate SkyHawk AI 8TB 3,5"" do użytku w rejestratorach NVR/DVR, SATA 6 Gb/s, maks. stała prędkość transferu 245 MB/s, pamięć podręczna 256 MB, średni pobór mocy podczas pracy/w stanie spoczynku 10,1 W/7,8 W, średni czas bezawaryjnej pracy (MT"&amp;"BF) 2 mln godzin, WRL 550 TB/rok, w zestawie usługi SkyHawk Health Management i Rescue Data Recovery (ST8000VX010)")</f>
        <v>Dysk twardy Seagate SkyHawk AI 8TB 3,5" do użytku w rejestratorach NVR/DVR, SATA 6 Gb/s, maks. stała prędkość transferu 245 MB/s, pamięć podręczna 256 MB, średni pobór mocy podczas pracy/w stanie spoczynku 10,1 W/7,8 W, średni czas bezawaryjnej pracy (MTBF) 2 mln godzin, WRL 550 TB/rok, w zestawie usługi SkyHawk Health Management i Rescue Data Recovery (ST8000VX010)</v>
      </c>
      <c r="K912" s="151"/>
      <c r="L912" s="55">
        <v>553.0</v>
      </c>
      <c r="M912" s="8"/>
      <c r="N912" s="45" t="s">
        <v>81</v>
      </c>
      <c r="O912" s="97"/>
      <c r="P912" s="11"/>
      <c r="Q912" s="9"/>
      <c r="R912" s="59"/>
      <c r="S912" s="59"/>
      <c r="T912" s="59"/>
      <c r="U912" s="9"/>
      <c r="V912" s="9"/>
      <c r="W912" s="9"/>
      <c r="X912" s="9"/>
      <c r="Y912" s="9"/>
      <c r="Z912" s="9"/>
      <c r="AA912" s="9"/>
      <c r="AB912" s="9"/>
      <c r="AC912" s="60"/>
      <c r="AD912" s="61"/>
      <c r="AE912" s="61"/>
      <c r="AF912" s="61"/>
      <c r="AG912" s="61"/>
      <c r="AH912" s="61"/>
      <c r="AI912" s="61"/>
      <c r="AJ912" s="61"/>
      <c r="AK912" s="61"/>
      <c r="AL912" s="61"/>
      <c r="AM912" s="61"/>
      <c r="AN912" s="61"/>
      <c r="AO912" s="61"/>
      <c r="AP912" s="61"/>
    </row>
    <row r="913" ht="46.5" customHeight="1">
      <c r="A913" s="1"/>
      <c r="B913" s="151" t="s">
        <v>76</v>
      </c>
      <c r="C913" s="152" t="s">
        <v>95</v>
      </c>
      <c r="D913" s="152" t="s">
        <v>2422</v>
      </c>
      <c r="E913" s="151"/>
      <c r="F913" s="151"/>
      <c r="G913" s="151"/>
      <c r="H913" s="155" t="s">
        <v>79</v>
      </c>
      <c r="I913" s="154" t="s">
        <v>97</v>
      </c>
      <c r="J913" s="42" t="str">
        <f>IFERROR(__xludf.DUMMYFUNCTION("GOOGLETRANSLATE(I913,""en"",""pl"")"),"Dysk twardy Seagate SkyHawk AI 10TB 3,5"" do użytku w NVR/DVR, SATA 6 Gb/s, maks. stała prędkość transferu 245 MB/s, pamięć podręczna 256 MB, średni pobór mocy podczas pracy/w stanie spoczynku 10,1 W/7,8 W, średni czas bezawaryjnej pracy (MTBF) 2 mln godz"&amp;"in, WRL 550 TB/rok, usługi SkyHawk Health Management i Rescue Data Recovery Services (ST10000VE001)")</f>
        <v>Dysk twardy Seagate SkyHawk AI 10TB 3,5" do użytku w NVR/DVR, SATA 6 Gb/s, maks. stała prędkość transferu 245 MB/s, pamięć podręczna 256 MB, średni pobór mocy podczas pracy/w stanie spoczynku 10,1 W/7,8 W, średni czas bezawaryjnej pracy (MTBF) 2 mln godzin, WRL 550 TB/rok, usługi SkyHawk Health Management i Rescue Data Recovery Services (ST10000VE001)</v>
      </c>
      <c r="K913" s="151"/>
      <c r="L913" s="55">
        <v>766.0</v>
      </c>
      <c r="M913" s="8"/>
      <c r="N913" s="45" t="s">
        <v>81</v>
      </c>
      <c r="O913" s="97"/>
      <c r="P913" s="11"/>
      <c r="Q913" s="9"/>
      <c r="R913" s="59"/>
      <c r="S913" s="59"/>
      <c r="T913" s="59"/>
      <c r="U913" s="9"/>
      <c r="V913" s="9"/>
      <c r="W913" s="9"/>
      <c r="X913" s="9"/>
      <c r="Y913" s="9"/>
      <c r="Z913" s="9"/>
      <c r="AA913" s="9"/>
      <c r="AB913" s="9"/>
      <c r="AC913" s="60"/>
      <c r="AD913" s="61"/>
      <c r="AE913" s="61"/>
      <c r="AF913" s="61"/>
      <c r="AG913" s="61"/>
      <c r="AH913" s="61"/>
      <c r="AI913" s="61"/>
      <c r="AJ913" s="61"/>
      <c r="AK913" s="61"/>
      <c r="AL913" s="61"/>
      <c r="AM913" s="61"/>
      <c r="AN913" s="61"/>
      <c r="AO913" s="61"/>
      <c r="AP913" s="61"/>
    </row>
    <row r="914" ht="46.5" customHeight="1">
      <c r="A914" s="1"/>
      <c r="B914" s="38" t="s">
        <v>76</v>
      </c>
      <c r="C914" s="40" t="s">
        <v>2423</v>
      </c>
      <c r="D914" s="40" t="s">
        <v>2424</v>
      </c>
      <c r="E914" s="38"/>
      <c r="F914" s="38"/>
      <c r="G914" s="38"/>
      <c r="H914" s="39" t="s">
        <v>79</v>
      </c>
      <c r="I914" s="48" t="s">
        <v>2425</v>
      </c>
      <c r="J914" s="42" t="str">
        <f>IFERROR(__xludf.DUMMYFUNCTION("GOOGLETRANSLATE(I914,""en"",""pl"")"),"Dysk twardy Seagate EXOS 2TB 3,5"" Enterprise do stosowania w serwerach pamięci masowej i rejestratorach NVR wymagających macierzy RAID, SATA 6 Gb/s, 2 mln godzin MTBF, limit obciążenia 550 TB/rok (ST2000NM000B)")</f>
        <v>Dysk twardy Seagate EXOS 2TB 3,5" Enterprise do stosowania w serwerach pamięci masowej i rejestratorach NVR wymagających macierzy RAID, SATA 6 Gb/s, 2 mln godzin MTBF, limit obciążenia 550 TB/rok (ST2000NM000B)</v>
      </c>
      <c r="K914" s="38"/>
      <c r="L914" s="44">
        <v>403.0</v>
      </c>
      <c r="M914" s="8"/>
      <c r="N914" s="45" t="s">
        <v>81</v>
      </c>
      <c r="O914" s="97"/>
      <c r="P914" s="11"/>
      <c r="Q914" s="9"/>
      <c r="R914" s="59"/>
      <c r="S914" s="59"/>
      <c r="T914" s="59"/>
      <c r="U914" s="9"/>
      <c r="V914" s="9"/>
      <c r="W914" s="9"/>
      <c r="X914" s="9"/>
      <c r="Y914" s="9"/>
      <c r="Z914" s="9"/>
      <c r="AA914" s="9"/>
      <c r="AB914" s="9"/>
      <c r="AC914" s="60"/>
      <c r="AD914" s="61"/>
      <c r="AE914" s="61"/>
      <c r="AF914" s="61"/>
      <c r="AG914" s="61"/>
      <c r="AH914" s="61"/>
      <c r="AI914" s="61"/>
      <c r="AJ914" s="61"/>
      <c r="AK914" s="61"/>
      <c r="AL914" s="61"/>
      <c r="AM914" s="61"/>
      <c r="AN914" s="61"/>
      <c r="AO914" s="61"/>
      <c r="AP914" s="61"/>
    </row>
    <row r="915" ht="46.5" customHeight="1">
      <c r="A915" s="1"/>
      <c r="B915" s="38" t="s">
        <v>76</v>
      </c>
      <c r="C915" s="40" t="s">
        <v>2426</v>
      </c>
      <c r="D915" s="40" t="s">
        <v>2427</v>
      </c>
      <c r="E915" s="38"/>
      <c r="F915" s="38"/>
      <c r="G915" s="38"/>
      <c r="H915" s="39" t="s">
        <v>79</v>
      </c>
      <c r="I915" s="48" t="s">
        <v>2428</v>
      </c>
      <c r="J915" s="42" t="str">
        <f>IFERROR(__xludf.DUMMYFUNCTION("GOOGLETRANSLATE(I915,""en"",""pl"")"),"Dysk twardy Seagate EXOS 4TB 3,5"" Enterprise do stosowania w serwerach pamięci masowej i rejestratorach NVR wymagających macierzy RAID, SATA 6 Gb/s, 2 mln godzin MTBF, limit obciążenia 550 TB/rok (ST4000NM000B)")</f>
        <v>Dysk twardy Seagate EXOS 4TB 3,5" Enterprise do stosowania w serwerach pamięci masowej i rejestratorach NVR wymagających macierzy RAID, SATA 6 Gb/s, 2 mln godzin MTBF, limit obciążenia 550 TB/rok (ST4000NM000B)</v>
      </c>
      <c r="K915" s="38"/>
      <c r="L915" s="44">
        <v>488.0</v>
      </c>
      <c r="M915" s="8"/>
      <c r="N915" s="45" t="s">
        <v>81</v>
      </c>
      <c r="O915" s="97"/>
      <c r="P915" s="9"/>
      <c r="Q915" s="9"/>
      <c r="R915" s="59"/>
      <c r="S915" s="59"/>
      <c r="T915" s="59"/>
      <c r="U915" s="9"/>
      <c r="V915" s="9"/>
      <c r="W915" s="9"/>
      <c r="X915" s="9"/>
      <c r="Y915" s="9"/>
      <c r="Z915" s="9"/>
      <c r="AA915" s="9"/>
      <c r="AB915" s="9"/>
      <c r="AC915" s="101"/>
      <c r="AD915" s="75"/>
      <c r="AE915" s="75"/>
      <c r="AF915" s="75"/>
      <c r="AG915" s="75"/>
      <c r="AH915" s="75"/>
      <c r="AI915" s="75"/>
      <c r="AJ915" s="75"/>
      <c r="AK915" s="75"/>
      <c r="AL915" s="75"/>
      <c r="AM915" s="75"/>
      <c r="AN915" s="75"/>
      <c r="AO915" s="75"/>
      <c r="AP915" s="75"/>
    </row>
    <row r="916" ht="46.5" customHeight="1">
      <c r="A916" s="1"/>
      <c r="B916" s="38" t="s">
        <v>76</v>
      </c>
      <c r="C916" s="40" t="s">
        <v>2429</v>
      </c>
      <c r="D916" s="40" t="s">
        <v>2430</v>
      </c>
      <c r="E916" s="38"/>
      <c r="F916" s="38"/>
      <c r="G916" s="38"/>
      <c r="H916" s="39" t="s">
        <v>79</v>
      </c>
      <c r="I916" s="48" t="s">
        <v>2431</v>
      </c>
      <c r="J916" s="42" t="str">
        <f>IFERROR(__xludf.DUMMYFUNCTION("GOOGLETRANSLATE(I916,""en"",""pl"")"),"Dysk twardy Seagate EXOS 6TB 3,5"" klasy Enterprise do stosowania w serwerach pamięci masowej i rejestratorach NVR wymagających macierzy RAID, SATA 6 Gb/s, 2 mln godzin MTBF, limit obciążenia 550 TB/rok (ST6000NM019B)")</f>
        <v>Dysk twardy Seagate EXOS 6TB 3,5" klasy Enterprise do stosowania w serwerach pamięci masowej i rejestratorach NVR wymagających macierzy RAID, SATA 6 Gb/s, 2 mln godzin MTBF, limit obciążenia 550 TB/rok (ST6000NM019B)</v>
      </c>
      <c r="K916" s="38"/>
      <c r="L916" s="44">
        <v>564.0</v>
      </c>
      <c r="M916" s="8"/>
      <c r="N916" s="45" t="s">
        <v>81</v>
      </c>
      <c r="O916" s="97"/>
      <c r="P916" s="9"/>
      <c r="Q916" s="9"/>
      <c r="R916" s="59"/>
      <c r="S916" s="59"/>
      <c r="T916" s="59"/>
      <c r="U916" s="9"/>
      <c r="V916" s="9"/>
      <c r="W916" s="9"/>
      <c r="X916" s="9"/>
      <c r="Y916" s="9"/>
      <c r="Z916" s="9"/>
      <c r="AA916" s="9"/>
      <c r="AB916" s="9"/>
      <c r="AC916" s="101"/>
      <c r="AD916" s="75"/>
      <c r="AE916" s="75"/>
      <c r="AF916" s="75"/>
      <c r="AG916" s="75"/>
      <c r="AH916" s="75"/>
      <c r="AI916" s="75"/>
      <c r="AJ916" s="75"/>
      <c r="AK916" s="75"/>
      <c r="AL916" s="75"/>
      <c r="AM916" s="75"/>
      <c r="AN916" s="75"/>
      <c r="AO916" s="75"/>
      <c r="AP916" s="75"/>
    </row>
    <row r="917" ht="46.5" customHeight="1">
      <c r="A917" s="1"/>
      <c r="B917" s="38" t="s">
        <v>76</v>
      </c>
      <c r="C917" s="40" t="s">
        <v>2432</v>
      </c>
      <c r="D917" s="40" t="s">
        <v>2433</v>
      </c>
      <c r="E917" s="38"/>
      <c r="F917" s="38"/>
      <c r="G917" s="38"/>
      <c r="H917" s="39" t="s">
        <v>79</v>
      </c>
      <c r="I917" s="48" t="s">
        <v>2434</v>
      </c>
      <c r="J917" s="42" t="str">
        <f>IFERROR(__xludf.DUMMYFUNCTION("GOOGLETRANSLATE(I917,""en"",""pl"")"),"Dysk twardy Seagate EXOS 8TB 3,5"" klasy Enterprise do stosowania w serwerach pamięci masowej i rejestratorach NVR wymagających macierzy RAID, SATA 6 Gb/s, 2 mln godzin MTBF, limit obciążenia 550 TB/rok (ST8000NM019B)")</f>
        <v>Dysk twardy Seagate EXOS 8TB 3,5" klasy Enterprise do stosowania w serwerach pamięci masowej i rejestratorach NVR wymagających macierzy RAID, SATA 6 Gb/s, 2 mln godzin MTBF, limit obciążenia 550 TB/rok (ST8000NM019B)</v>
      </c>
      <c r="K917" s="38"/>
      <c r="L917" s="44">
        <v>677.0</v>
      </c>
      <c r="M917" s="8"/>
      <c r="N917" s="45" t="s">
        <v>81</v>
      </c>
      <c r="O917" s="97"/>
      <c r="P917" s="11"/>
      <c r="Q917" s="9"/>
      <c r="R917" s="59"/>
      <c r="S917" s="59"/>
      <c r="T917" s="59"/>
      <c r="U917" s="9"/>
      <c r="V917" s="9"/>
      <c r="W917" s="9"/>
      <c r="X917" s="9"/>
      <c r="Y917" s="9"/>
      <c r="Z917" s="9"/>
      <c r="AA917" s="9"/>
      <c r="AB917" s="9"/>
      <c r="AC917" s="60"/>
      <c r="AD917" s="61"/>
      <c r="AE917" s="61"/>
      <c r="AF917" s="61"/>
      <c r="AG917" s="61"/>
      <c r="AH917" s="61"/>
      <c r="AI917" s="61"/>
      <c r="AJ917" s="61"/>
      <c r="AK917" s="61"/>
      <c r="AL917" s="61"/>
      <c r="AM917" s="61"/>
      <c r="AN917" s="61"/>
      <c r="AO917" s="61"/>
      <c r="AP917" s="61"/>
    </row>
    <row r="918" ht="46.5" customHeight="1">
      <c r="A918" s="1"/>
      <c r="B918" s="38" t="s">
        <v>76</v>
      </c>
      <c r="C918" s="40" t="s">
        <v>2435</v>
      </c>
      <c r="D918" s="40" t="s">
        <v>2436</v>
      </c>
      <c r="E918" s="38"/>
      <c r="F918" s="38"/>
      <c r="G918" s="38"/>
      <c r="H918" s="39" t="s">
        <v>79</v>
      </c>
      <c r="I918" s="48" t="s">
        <v>2437</v>
      </c>
      <c r="J918" s="42" t="str">
        <f>IFERROR(__xludf.DUMMYFUNCTION("GOOGLETRANSLATE(I918,""en"",""pl"")"),"Dysk twardy Seagate EXOS 10 TB 3,5"" klasy Enterprise do stosowania w serwerach pamięci masowej i rejestratorach NVR wymagających macierzy RAID, SATA 6 Gb/s, 2,5 mln godzin MTBF, limit obciążenia 550 TB/rok (ST10000NM017B)")</f>
        <v>Dysk twardy Seagate EXOS 10 TB 3,5" klasy Enterprise do stosowania w serwerach pamięci masowej i rejestratorach NVR wymagających macierzy RAID, SATA 6 Gb/s, 2,5 mln godzin MTBF, limit obciążenia 550 TB/rok (ST10000NM017B)</v>
      </c>
      <c r="K918" s="38"/>
      <c r="L918" s="44">
        <v>768.0</v>
      </c>
      <c r="M918" s="8"/>
      <c r="N918" s="45" t="s">
        <v>81</v>
      </c>
      <c r="O918" s="97"/>
      <c r="P918" s="11"/>
      <c r="Q918" s="9"/>
      <c r="R918" s="59"/>
      <c r="S918" s="59"/>
      <c r="T918" s="59"/>
      <c r="U918" s="9"/>
      <c r="V918" s="9"/>
      <c r="W918" s="9"/>
      <c r="X918" s="9"/>
      <c r="Y918" s="9"/>
      <c r="Z918" s="9"/>
      <c r="AA918" s="9"/>
      <c r="AB918" s="9"/>
      <c r="AC918" s="60"/>
      <c r="AD918" s="61"/>
      <c r="AE918" s="61"/>
      <c r="AF918" s="61"/>
      <c r="AG918" s="61"/>
      <c r="AH918" s="61"/>
      <c r="AI918" s="61"/>
      <c r="AJ918" s="61"/>
      <c r="AK918" s="61"/>
      <c r="AL918" s="61"/>
      <c r="AM918" s="61"/>
      <c r="AN918" s="61"/>
      <c r="AO918" s="61"/>
      <c r="AP918" s="61"/>
    </row>
    <row r="919" ht="46.5" customHeight="1">
      <c r="A919" s="1"/>
      <c r="B919" s="151" t="s">
        <v>76</v>
      </c>
      <c r="C919" s="152" t="s">
        <v>98</v>
      </c>
      <c r="D919" s="152" t="s">
        <v>99</v>
      </c>
      <c r="E919" s="151"/>
      <c r="F919" s="151"/>
      <c r="G919" s="151"/>
      <c r="H919" s="155" t="s">
        <v>79</v>
      </c>
      <c r="I919" s="154" t="s">
        <v>100</v>
      </c>
      <c r="J919" s="42" t="str">
        <f>IFERROR(__xludf.DUMMYFUNCTION("GOOGLETRANSLATE(I919,""en"",""pl"")"),"Dysk twardy WD Purple 2TB 3,5'' (WD22PURU-64C5JY0)")</f>
        <v>Dysk twardy WD Purple 2TB 3,5'' (WD22PURU-64C5JY0)</v>
      </c>
      <c r="K919" s="151"/>
      <c r="L919" s="55">
        <v>199.0</v>
      </c>
      <c r="M919" s="8"/>
      <c r="N919" s="45" t="s">
        <v>81</v>
      </c>
      <c r="O919" s="97"/>
      <c r="P919" s="9"/>
      <c r="Q919" s="9"/>
      <c r="R919" s="59"/>
      <c r="S919" s="59"/>
      <c r="T919" s="59"/>
      <c r="U919" s="9"/>
      <c r="V919" s="9"/>
      <c r="W919" s="9"/>
      <c r="X919" s="9"/>
      <c r="Y919" s="9"/>
      <c r="Z919" s="9"/>
      <c r="AA919" s="9"/>
      <c r="AB919" s="9"/>
      <c r="AC919" s="101"/>
      <c r="AD919" s="75"/>
      <c r="AE919" s="75"/>
      <c r="AF919" s="75"/>
      <c r="AG919" s="75"/>
      <c r="AH919" s="75"/>
      <c r="AI919" s="75"/>
      <c r="AJ919" s="75"/>
      <c r="AK919" s="75"/>
      <c r="AL919" s="75"/>
      <c r="AM919" s="75"/>
      <c r="AN919" s="75"/>
      <c r="AO919" s="75"/>
      <c r="AP919" s="75"/>
    </row>
    <row r="920" ht="46.5" customHeight="1">
      <c r="A920" s="1"/>
      <c r="B920" s="151" t="s">
        <v>76</v>
      </c>
      <c r="C920" s="152" t="s">
        <v>101</v>
      </c>
      <c r="D920" s="152" t="s">
        <v>102</v>
      </c>
      <c r="E920" s="151"/>
      <c r="F920" s="151"/>
      <c r="G920" s="151"/>
      <c r="H920" s="155" t="s">
        <v>79</v>
      </c>
      <c r="I920" s="154" t="s">
        <v>103</v>
      </c>
      <c r="J920" s="42" t="str">
        <f>IFERROR(__xludf.DUMMYFUNCTION("GOOGLETRANSLATE(I920,""en"",""pl"")"),"Dysk twardy WD Purple 4TB 3,5'' (WD42PURU-64C4CY0)")</f>
        <v>Dysk twardy WD Purple 4TB 3,5'' (WD42PURU-64C4CY0)</v>
      </c>
      <c r="K920" s="151"/>
      <c r="L920" s="55">
        <v>264.0</v>
      </c>
      <c r="M920" s="8"/>
      <c r="N920" s="45" t="s">
        <v>81</v>
      </c>
      <c r="O920" s="97"/>
      <c r="P920" s="11"/>
      <c r="Q920" s="9"/>
      <c r="R920" s="59"/>
      <c r="S920" s="59"/>
      <c r="T920" s="59"/>
      <c r="U920" s="9"/>
      <c r="V920" s="9"/>
      <c r="W920" s="9"/>
      <c r="X920" s="9"/>
      <c r="Y920" s="9"/>
      <c r="Z920" s="9"/>
      <c r="AA920" s="9"/>
      <c r="AB920" s="9"/>
      <c r="AC920" s="60"/>
      <c r="AD920" s="61"/>
      <c r="AE920" s="61"/>
      <c r="AF920" s="61"/>
      <c r="AG920" s="61"/>
      <c r="AH920" s="61"/>
      <c r="AI920" s="61"/>
      <c r="AJ920" s="61"/>
      <c r="AK920" s="61"/>
      <c r="AL920" s="61"/>
      <c r="AM920" s="61"/>
      <c r="AN920" s="61"/>
      <c r="AO920" s="61"/>
      <c r="AP920" s="61"/>
    </row>
    <row r="921" ht="46.5" customHeight="1">
      <c r="A921" s="1"/>
      <c r="B921" s="151" t="s">
        <v>76</v>
      </c>
      <c r="C921" s="152" t="s">
        <v>104</v>
      </c>
      <c r="D921" s="152" t="s">
        <v>105</v>
      </c>
      <c r="E921" s="151"/>
      <c r="F921" s="151"/>
      <c r="G921" s="151"/>
      <c r="H921" s="155" t="s">
        <v>79</v>
      </c>
      <c r="I921" s="154" t="s">
        <v>106</v>
      </c>
      <c r="J921" s="42" t="str">
        <f>IFERROR(__xludf.DUMMYFUNCTION("GOOGLETRANSLATE(I921,""en"",""pl"")"),"Dysk twardy WD Purple 6TB 3,5'' (WD63PURU-64C4FY0)")</f>
        <v>Dysk twardy WD Purple 6TB 3,5'' (WD63PURU-64C4FY0)</v>
      </c>
      <c r="K921" s="151"/>
      <c r="L921" s="55">
        <v>425.0</v>
      </c>
      <c r="M921" s="8"/>
      <c r="N921" s="45" t="s">
        <v>81</v>
      </c>
      <c r="O921" s="97"/>
      <c r="P921" s="11"/>
      <c r="Q921" s="9"/>
      <c r="R921" s="59"/>
      <c r="S921" s="59"/>
      <c r="T921" s="59"/>
      <c r="U921" s="9"/>
      <c r="V921" s="9"/>
      <c r="W921" s="9"/>
      <c r="X921" s="9"/>
      <c r="Y921" s="9"/>
      <c r="Z921" s="9"/>
      <c r="AA921" s="9"/>
      <c r="AB921" s="9"/>
      <c r="AC921" s="60"/>
      <c r="AD921" s="61"/>
      <c r="AE921" s="61"/>
      <c r="AF921" s="61"/>
      <c r="AG921" s="61"/>
      <c r="AH921" s="61"/>
      <c r="AI921" s="61"/>
      <c r="AJ921" s="61"/>
      <c r="AK921" s="61"/>
      <c r="AL921" s="61"/>
      <c r="AM921" s="61"/>
      <c r="AN921" s="61"/>
      <c r="AO921" s="61"/>
      <c r="AP921" s="61"/>
    </row>
    <row r="922" ht="46.5" customHeight="1">
      <c r="A922" s="1"/>
      <c r="B922" s="151" t="s">
        <v>76</v>
      </c>
      <c r="C922" s="152" t="s">
        <v>107</v>
      </c>
      <c r="D922" s="152" t="s">
        <v>108</v>
      </c>
      <c r="E922" s="151"/>
      <c r="F922" s="151"/>
      <c r="G922" s="151"/>
      <c r="H922" s="155" t="s">
        <v>79</v>
      </c>
      <c r="I922" s="154" t="s">
        <v>109</v>
      </c>
      <c r="J922" s="42" t="str">
        <f>IFERROR(__xludf.DUMMYFUNCTION("GOOGLETRANSLATE(I922,""en"",""pl"")"),"Dysk twardy WD Purple Pro 10TB 3,5'' (WD102PURA-64CHRY0)")</f>
        <v>Dysk twardy WD Purple Pro 10TB 3,5'' (WD102PURA-64CHRY0)</v>
      </c>
      <c r="K922" s="151"/>
      <c r="L922" s="55">
        <v>690.0</v>
      </c>
      <c r="M922" s="8"/>
      <c r="N922" s="45" t="s">
        <v>81</v>
      </c>
      <c r="O922" s="97"/>
      <c r="P922" s="11"/>
      <c r="Q922" s="9"/>
      <c r="R922" s="59"/>
      <c r="S922" s="59"/>
      <c r="T922" s="59"/>
      <c r="U922" s="9"/>
      <c r="V922" s="9"/>
      <c r="W922" s="9"/>
      <c r="X922" s="9"/>
      <c r="Y922" s="9"/>
      <c r="Z922" s="9"/>
      <c r="AA922" s="9"/>
      <c r="AB922" s="9"/>
      <c r="AC922" s="60"/>
      <c r="AD922" s="61"/>
      <c r="AE922" s="61"/>
      <c r="AF922" s="61"/>
      <c r="AG922" s="61"/>
      <c r="AH922" s="61"/>
      <c r="AI922" s="61"/>
      <c r="AJ922" s="61"/>
      <c r="AK922" s="61"/>
      <c r="AL922" s="61"/>
      <c r="AM922" s="61"/>
      <c r="AN922" s="61"/>
      <c r="AO922" s="61"/>
      <c r="AP922" s="61"/>
    </row>
    <row r="923" ht="46.5" customHeight="1">
      <c r="A923" s="1"/>
      <c r="B923" s="136" t="s">
        <v>76</v>
      </c>
      <c r="C923" s="138" t="s">
        <v>77</v>
      </c>
      <c r="D923" s="138" t="s">
        <v>78</v>
      </c>
      <c r="E923" s="136"/>
      <c r="F923" s="136"/>
      <c r="G923" s="136"/>
      <c r="H923" s="137" t="s">
        <v>79</v>
      </c>
      <c r="I923" s="156" t="s">
        <v>80</v>
      </c>
      <c r="J923" s="42" t="str">
        <f>IFERROR(__xludf.DUMMYFUNCTION("GOOGLETRANSLATE(I923,""en"",""pl"")"),"Dysk twardy WD Ultrastar ENTERPRISE 10TB 3,5''")</f>
        <v>Dysk twardy WD Ultrastar ENTERPRISE 10TB 3,5''</v>
      </c>
      <c r="K923" s="136"/>
      <c r="L923" s="142">
        <v>743.0</v>
      </c>
      <c r="M923" s="8"/>
      <c r="N923" s="45" t="s">
        <v>81</v>
      </c>
      <c r="O923" s="97"/>
      <c r="P923" s="11"/>
      <c r="Q923" s="9"/>
      <c r="R923" s="59"/>
      <c r="S923" s="59"/>
      <c r="T923" s="59"/>
      <c r="U923" s="9"/>
      <c r="V923" s="9"/>
      <c r="W923" s="9"/>
      <c r="X923" s="9"/>
      <c r="Y923" s="9"/>
      <c r="Z923" s="9"/>
      <c r="AA923" s="9"/>
      <c r="AB923" s="9"/>
      <c r="AC923" s="60"/>
      <c r="AD923" s="61"/>
      <c r="AE923" s="61"/>
      <c r="AF923" s="61"/>
      <c r="AG923" s="61"/>
      <c r="AH923" s="61"/>
      <c r="AI923" s="61"/>
      <c r="AJ923" s="61"/>
      <c r="AK923" s="61"/>
      <c r="AL923" s="61"/>
      <c r="AM923" s="61"/>
      <c r="AN923" s="61"/>
      <c r="AO923" s="61"/>
      <c r="AP923" s="61"/>
    </row>
    <row r="924" ht="30.0" customHeight="1">
      <c r="A924" s="1"/>
      <c r="B924" s="129" t="s">
        <v>2438</v>
      </c>
      <c r="C924" s="113"/>
      <c r="D924" s="113"/>
      <c r="E924" s="144"/>
      <c r="F924" s="144"/>
      <c r="G924" s="144"/>
      <c r="H924" s="94"/>
      <c r="I924" s="113"/>
      <c r="J924" s="42" t="str">
        <f>IFERROR(__xludf.DUMMYFUNCTION("GOOGLETRANSLATE(I924,""en"",""pl"")"),"#VALUE!")</f>
        <v>#VALUE!</v>
      </c>
      <c r="K924" s="144"/>
      <c r="L924" s="114"/>
      <c r="M924" s="115"/>
      <c r="N924" s="96"/>
      <c r="O924" s="146"/>
      <c r="P924" s="11"/>
      <c r="Q924" s="9"/>
      <c r="R924" s="59"/>
      <c r="S924" s="59"/>
      <c r="T924" s="59"/>
      <c r="U924" s="9"/>
      <c r="V924" s="9"/>
      <c r="W924" s="9"/>
      <c r="X924" s="9"/>
      <c r="Y924" s="9"/>
      <c r="Z924" s="9"/>
      <c r="AA924" s="9"/>
      <c r="AB924" s="9"/>
      <c r="AC924" s="60"/>
      <c r="AD924" s="61"/>
      <c r="AE924" s="61"/>
      <c r="AF924" s="61"/>
      <c r="AG924" s="61"/>
      <c r="AH924" s="61"/>
      <c r="AI924" s="61"/>
      <c r="AJ924" s="61"/>
      <c r="AK924" s="61"/>
      <c r="AL924" s="61"/>
      <c r="AM924" s="61"/>
      <c r="AN924" s="61"/>
      <c r="AO924" s="61"/>
      <c r="AP924" s="61"/>
    </row>
    <row r="925" ht="46.5" customHeight="1">
      <c r="A925" s="1"/>
      <c r="B925" s="116" t="s">
        <v>2439</v>
      </c>
      <c r="C925" s="118" t="s">
        <v>2440</v>
      </c>
      <c r="D925" s="118" t="s">
        <v>2441</v>
      </c>
      <c r="E925" s="38"/>
      <c r="F925" s="38"/>
      <c r="G925" s="38"/>
      <c r="H925" s="126" t="s">
        <v>170</v>
      </c>
      <c r="I925" s="121" t="s">
        <v>2442</v>
      </c>
      <c r="J925" s="42" t="str">
        <f>IFERROR(__xludf.DUMMYFUNCTION("GOOGLETRANSLATE(I925,""en"",""pl"")"),"Mały oświetlacz ścienny LED IR 850 nm, PoE 12 W, maks. zasięg 101 m, regulowana czułość fotokomórki, jasność oświetlenia, styk bezpotencjałowy do zdalnego przełączania, zawiera wymienne soczewki 10, 30, 60, 95 stopni, IP66, IK09")</f>
        <v>Mały oświetlacz ścienny LED IR 850 nm, PoE 12 W, maks. zasięg 101 m, regulowana czułość fotokomórki, jasność oświetlenia, styk bezpotencjałowy do zdalnego przełączania, zawiera wymienne soczewki 10, 30, 60, 95 stopni, IP66, IK09</v>
      </c>
      <c r="K925" s="43" t="s">
        <v>21</v>
      </c>
      <c r="L925" s="44">
        <v>423.0</v>
      </c>
      <c r="M925" s="8"/>
      <c r="N925" s="45" t="s">
        <v>22</v>
      </c>
      <c r="O925" s="97"/>
      <c r="P925" s="9"/>
      <c r="Q925" s="9"/>
      <c r="R925" s="59"/>
      <c r="S925" s="59"/>
      <c r="T925" s="59"/>
      <c r="U925" s="9"/>
      <c r="V925" s="9"/>
      <c r="W925" s="9"/>
      <c r="X925" s="9"/>
      <c r="Y925" s="9"/>
      <c r="Z925" s="9"/>
      <c r="AA925" s="9"/>
      <c r="AB925" s="9"/>
      <c r="AC925" s="101"/>
      <c r="AD925" s="75"/>
      <c r="AE925" s="75"/>
      <c r="AF925" s="75"/>
      <c r="AG925" s="75"/>
      <c r="AH925" s="75"/>
      <c r="AI925" s="75"/>
      <c r="AJ925" s="75"/>
      <c r="AK925" s="75"/>
      <c r="AL925" s="75"/>
      <c r="AM925" s="75"/>
      <c r="AN925" s="75"/>
      <c r="AO925" s="75"/>
      <c r="AP925" s="75"/>
    </row>
    <row r="926" ht="46.5" customHeight="1">
      <c r="A926" s="1"/>
      <c r="B926" s="38" t="s">
        <v>2439</v>
      </c>
      <c r="C926" s="40" t="s">
        <v>2443</v>
      </c>
      <c r="D926" s="40" t="s">
        <v>2444</v>
      </c>
      <c r="E926" s="38"/>
      <c r="F926" s="38"/>
      <c r="G926" s="38"/>
      <c r="H926" s="41" t="s">
        <v>170</v>
      </c>
      <c r="I926" s="48" t="s">
        <v>2445</v>
      </c>
      <c r="J926" s="42" t="str">
        <f>IFERROR(__xludf.DUMMYFUNCTION("GOOGLETRANSLATE(I926,""en"",""pl"")"),"Średniej wielkości oświetlacz ścienny LED IR 850 nm, oparty na IP, PoE+ 26 W, maks. zasięg 187 m, ustawienia interfejsu internetowego umożliwiające ręczne włączanie/wyłączanie, oszczędzanie energii, wzmocnienie, czułość fotokomórki, jasność oświetlenia, c"&amp;"zujnik wibracji, styk bezpotencjałowy do zdalnego przełączania, zawiera wymienne soczewki 10, 30, 60, 95 stopni, IP66, IK09")</f>
        <v>Średniej wielkości oświetlacz ścienny LED IR 850 nm, oparty na IP, PoE+ 26 W, maks. zasięg 187 m, ustawienia interfejsu internetowego umożliwiające ręczne włączanie/wyłączanie, oszczędzanie energii, wzmocnienie, czułość fotokomórki, jasność oświetlenia, czujnik wibracji, styk bezpotencjałowy do zdalnego przełączania, zawiera wymienne soczewki 10, 30, 60, 95 stopni, IP66, IK09</v>
      </c>
      <c r="K926" s="43" t="s">
        <v>21</v>
      </c>
      <c r="L926" s="44">
        <v>871.0</v>
      </c>
      <c r="M926" s="8"/>
      <c r="N926" s="45" t="s">
        <v>22</v>
      </c>
      <c r="O926" s="97"/>
      <c r="P926" s="9"/>
      <c r="Q926" s="9"/>
      <c r="R926" s="59"/>
      <c r="S926" s="59"/>
      <c r="T926" s="59"/>
      <c r="U926" s="9"/>
      <c r="V926" s="9"/>
      <c r="W926" s="9"/>
      <c r="X926" s="9"/>
      <c r="Y926" s="9"/>
      <c r="Z926" s="9"/>
      <c r="AA926" s="9"/>
      <c r="AB926" s="9"/>
      <c r="AC926" s="101"/>
      <c r="AD926" s="75"/>
      <c r="AE926" s="75"/>
      <c r="AF926" s="75"/>
      <c r="AG926" s="75"/>
      <c r="AH926" s="75"/>
      <c r="AI926" s="75"/>
      <c r="AJ926" s="75"/>
      <c r="AK926" s="75"/>
      <c r="AL926" s="75"/>
      <c r="AM926" s="75"/>
      <c r="AN926" s="75"/>
      <c r="AO926" s="75"/>
      <c r="AP926" s="75"/>
    </row>
    <row r="927" ht="46.5" customHeight="1">
      <c r="A927" s="1"/>
      <c r="B927" s="38" t="s">
        <v>2439</v>
      </c>
      <c r="C927" s="40" t="s">
        <v>2446</v>
      </c>
      <c r="D927" s="40" t="s">
        <v>2447</v>
      </c>
      <c r="E927" s="38"/>
      <c r="F927" s="38"/>
      <c r="G927" s="38"/>
      <c r="H927" s="41" t="s">
        <v>170</v>
      </c>
      <c r="I927" s="48" t="s">
        <v>2448</v>
      </c>
      <c r="J927" s="42" t="str">
        <f>IFERROR(__xludf.DUMMYFUNCTION("GOOGLETRANSLATE(I927,""en"",""pl"")"),"Mały biały reflektor LED 928 lm 6500 k, montaż ścienny, PoE 12 W, maks. odległość 68 m, regulowana czułość fotokomórki, jasność oświetlenia, bezpotencjałowy styk do zdalnego przełączania, zawiera wymienne soczewki 10, 30, 60, 95 stopni, IP66, IK09")</f>
        <v>Mały biały reflektor LED 928 lm 6500 k, montaż ścienny, PoE 12 W, maks. odległość 68 m, regulowana czułość fotokomórki, jasność oświetlenia, bezpotencjałowy styk do zdalnego przełączania, zawiera wymienne soczewki 10, 30, 60, 95 stopni, IP66, IK09</v>
      </c>
      <c r="K927" s="43" t="s">
        <v>21</v>
      </c>
      <c r="L927" s="44">
        <v>412.0</v>
      </c>
      <c r="M927" s="8"/>
      <c r="N927" s="45" t="s">
        <v>22</v>
      </c>
      <c r="O927" s="97"/>
      <c r="P927" s="9"/>
      <c r="Q927" s="9"/>
      <c r="R927" s="59"/>
      <c r="S927" s="59"/>
      <c r="T927" s="59"/>
      <c r="U927" s="9"/>
      <c r="V927" s="9"/>
      <c r="W927" s="9"/>
      <c r="X927" s="9"/>
      <c r="Y927" s="9"/>
      <c r="Z927" s="9"/>
      <c r="AA927" s="9"/>
      <c r="AB927" s="9"/>
      <c r="AC927" s="101"/>
      <c r="AD927" s="75"/>
      <c r="AE927" s="75"/>
      <c r="AF927" s="75"/>
      <c r="AG927" s="75"/>
      <c r="AH927" s="75"/>
      <c r="AI927" s="75"/>
      <c r="AJ927" s="75"/>
      <c r="AK927" s="75"/>
      <c r="AL927" s="75"/>
      <c r="AM927" s="75"/>
      <c r="AN927" s="75"/>
      <c r="AO927" s="75"/>
      <c r="AP927" s="75"/>
    </row>
    <row r="928" ht="46.5" customHeight="1">
      <c r="A928" s="1"/>
      <c r="B928" s="38" t="s">
        <v>2439</v>
      </c>
      <c r="C928" s="40" t="s">
        <v>2449</v>
      </c>
      <c r="D928" s="40" t="s">
        <v>2450</v>
      </c>
      <c r="E928" s="38"/>
      <c r="F928" s="38"/>
      <c r="G928" s="38"/>
      <c r="H928" s="41" t="s">
        <v>170</v>
      </c>
      <c r="I928" s="48" t="s">
        <v>2451</v>
      </c>
      <c r="J928" s="42" t="str">
        <f>IFERROR(__xludf.DUMMYFUNCTION("GOOGLETRANSLATE(I928,""en"",""pl"")"),"Oświetlacz ścienny LED o średniej białej barwie światła 1856 lm, 6500 kHz, oparty na IP, PoE+ 26 W, maks. odległość 114 m, ustawienia interfejsu internetowego umożliwiające ręczne włączanie/wyłączanie, oszczędzanie energii, wzmocnienie, stroboskop, czułoś"&amp;"ć fotokomórki, jasność oświetlenia, czujnik wibracji, styk bezpotencjałowy do zdalnego przełączania, zawiera wymienne soczewki 10, 30, 60, 95 stopni, IP66, IK09")</f>
        <v>Oświetlacz ścienny LED o średniej białej barwie światła 1856 lm, 6500 kHz, oparty na IP, PoE+ 26 W, maks. odległość 114 m, ustawienia interfejsu internetowego umożliwiające ręczne włączanie/wyłączanie, oszczędzanie energii, wzmocnienie, stroboskop, czułość fotokomórki, jasność oświetlenia, czujnik wibracji, styk bezpotencjałowy do zdalnego przełączania, zawiera wymienne soczewki 10, 30, 60, 95 stopni, IP66, IK09</v>
      </c>
      <c r="K928" s="43" t="s">
        <v>21</v>
      </c>
      <c r="L928" s="44">
        <v>822.0</v>
      </c>
      <c r="M928" s="8"/>
      <c r="N928" s="45" t="s">
        <v>22</v>
      </c>
      <c r="O928" s="97"/>
      <c r="P928" s="9"/>
      <c r="Q928" s="9"/>
      <c r="R928" s="59"/>
      <c r="S928" s="59"/>
      <c r="T928" s="59"/>
      <c r="U928" s="9"/>
      <c r="V928" s="9"/>
      <c r="W928" s="9"/>
      <c r="X928" s="9"/>
      <c r="Y928" s="9"/>
      <c r="Z928" s="9"/>
      <c r="AA928" s="9"/>
      <c r="AB928" s="9"/>
      <c r="AC928" s="101"/>
      <c r="AD928" s="75"/>
      <c r="AE928" s="75"/>
      <c r="AF928" s="75"/>
      <c r="AG928" s="75"/>
      <c r="AH928" s="75"/>
      <c r="AI928" s="75"/>
      <c r="AJ928" s="75"/>
      <c r="AK928" s="75"/>
      <c r="AL928" s="75"/>
      <c r="AM928" s="75"/>
      <c r="AN928" s="75"/>
      <c r="AO928" s="75"/>
      <c r="AP928" s="75"/>
    </row>
    <row r="929" ht="46.5" customHeight="1">
      <c r="A929" s="1"/>
      <c r="B929" s="38" t="s">
        <v>2439</v>
      </c>
      <c r="C929" s="40" t="s">
        <v>2452</v>
      </c>
      <c r="D929" s="40" t="s">
        <v>2453</v>
      </c>
      <c r="E929" s="38"/>
      <c r="F929" s="38"/>
      <c r="G929" s="38"/>
      <c r="H929" s="41" t="s">
        <v>170</v>
      </c>
      <c r="I929" s="48" t="s">
        <v>2454</v>
      </c>
      <c r="J929" s="42" t="str">
        <f>IFERROR(__xludf.DUMMYFUNCTION("GOOGLETRANSLATE(I929,""en"",""pl"")"),"Pojedynczy uchwyt ścienny do oświetlaczy podczerwieni i światła białego, konstrukcja ze stali nierdzewnej")</f>
        <v>Pojedynczy uchwyt ścienny do oświetlaczy podczerwieni i światła białego, konstrukcja ze stali nierdzewnej</v>
      </c>
      <c r="K929" s="43" t="s">
        <v>21</v>
      </c>
      <c r="L929" s="44">
        <v>57.0</v>
      </c>
      <c r="M929" s="8"/>
      <c r="N929" s="45" t="s">
        <v>22</v>
      </c>
      <c r="O929" s="97"/>
      <c r="P929" s="9"/>
      <c r="Q929" s="9"/>
      <c r="R929" s="59"/>
      <c r="S929" s="59"/>
      <c r="T929" s="59"/>
      <c r="U929" s="9"/>
      <c r="V929" s="9"/>
      <c r="W929" s="9"/>
      <c r="X929" s="9"/>
      <c r="Y929" s="9"/>
      <c r="Z929" s="9"/>
      <c r="AA929" s="9"/>
      <c r="AB929" s="9"/>
      <c r="AC929" s="101"/>
      <c r="AD929" s="75"/>
      <c r="AE929" s="75"/>
      <c r="AF929" s="75"/>
      <c r="AG929" s="75"/>
      <c r="AH929" s="75"/>
      <c r="AI929" s="75"/>
      <c r="AJ929" s="75"/>
      <c r="AK929" s="75"/>
      <c r="AL929" s="75"/>
      <c r="AM929" s="75"/>
      <c r="AN929" s="75"/>
      <c r="AO929" s="75"/>
      <c r="AP929" s="75"/>
    </row>
    <row r="930" ht="46.5" customHeight="1">
      <c r="A930" s="1"/>
      <c r="B930" s="38" t="s">
        <v>2439</v>
      </c>
      <c r="C930" s="40" t="s">
        <v>2455</v>
      </c>
      <c r="D930" s="40" t="s">
        <v>2456</v>
      </c>
      <c r="E930" s="38"/>
      <c r="F930" s="38"/>
      <c r="G930" s="38"/>
      <c r="H930" s="41" t="s">
        <v>170</v>
      </c>
      <c r="I930" s="48" t="s">
        <v>2457</v>
      </c>
      <c r="J930" s="42" t="str">
        <f>IFERROR(__xludf.DUMMYFUNCTION("GOOGLETRANSLATE(I930,""en"",""pl"")"),"Podwójny uchwyt ścienny do oświetlaczy podczerwieni i światła białego, konstrukcja ze stali nierdzewnej, zawiera puszkę przyłączeniową o stopniu ochrony IP67")</f>
        <v>Podwójny uchwyt ścienny do oświetlaczy podczerwieni i światła białego, konstrukcja ze stali nierdzewnej, zawiera puszkę przyłączeniową o stopniu ochrony IP67</v>
      </c>
      <c r="K930" s="43" t="s">
        <v>21</v>
      </c>
      <c r="L930" s="44">
        <v>128.0</v>
      </c>
      <c r="M930" s="8"/>
      <c r="N930" s="45" t="s">
        <v>22</v>
      </c>
      <c r="O930" s="97"/>
      <c r="P930" s="9"/>
      <c r="Q930" s="9"/>
      <c r="R930" s="59"/>
      <c r="S930" s="59"/>
      <c r="T930" s="59"/>
      <c r="U930" s="9"/>
      <c r="V930" s="9"/>
      <c r="W930" s="9"/>
      <c r="X930" s="9"/>
      <c r="Y930" s="9"/>
      <c r="Z930" s="9"/>
      <c r="AA930" s="9"/>
      <c r="AB930" s="9"/>
      <c r="AC930" s="101"/>
      <c r="AD930" s="75"/>
      <c r="AE930" s="75"/>
      <c r="AF930" s="75"/>
      <c r="AG930" s="75"/>
      <c r="AH930" s="75"/>
      <c r="AI930" s="75"/>
      <c r="AJ930" s="75"/>
      <c r="AK930" s="75"/>
      <c r="AL930" s="75"/>
      <c r="AM930" s="75"/>
      <c r="AN930" s="75"/>
      <c r="AO930" s="75"/>
      <c r="AP930" s="75"/>
    </row>
    <row r="931" ht="46.5" customHeight="1">
      <c r="A931" s="1"/>
      <c r="B931" s="38" t="s">
        <v>2439</v>
      </c>
      <c r="C931" s="40" t="s">
        <v>2458</v>
      </c>
      <c r="D931" s="40" t="s">
        <v>2459</v>
      </c>
      <c r="E931" s="38"/>
      <c r="F931" s="38"/>
      <c r="G931" s="38"/>
      <c r="H931" s="41" t="s">
        <v>170</v>
      </c>
      <c r="I931" s="48" t="s">
        <v>2460</v>
      </c>
      <c r="J931" s="42" t="str">
        <f>IFERROR(__xludf.DUMMYFUNCTION("GOOGLETRANSLATE(I931,""en"",""pl"")"),"Potrójny uchwyt ścienny do oświetlaczy podczerwieni i światła białego, konstrukcja ze stali nierdzewnej, zawiera puszkę przyłączeniową o stopniu ochrony IP67")</f>
        <v>Potrójny uchwyt ścienny do oświetlaczy podczerwieni i światła białego, konstrukcja ze stali nierdzewnej, zawiera puszkę przyłączeniową o stopniu ochrony IP67</v>
      </c>
      <c r="K931" s="43" t="s">
        <v>21</v>
      </c>
      <c r="L931" s="44">
        <v>166.0</v>
      </c>
      <c r="M931" s="8"/>
      <c r="N931" s="45" t="s">
        <v>22</v>
      </c>
      <c r="O931" s="97"/>
      <c r="P931" s="9"/>
      <c r="Q931" s="9"/>
      <c r="R931" s="59"/>
      <c r="S931" s="59"/>
      <c r="T931" s="59"/>
      <c r="U931" s="9"/>
      <c r="V931" s="9"/>
      <c r="W931" s="9"/>
      <c r="X931" s="9"/>
      <c r="Y931" s="9"/>
      <c r="Z931" s="9"/>
      <c r="AA931" s="9"/>
      <c r="AB931" s="9"/>
      <c r="AC931" s="101"/>
      <c r="AD931" s="75"/>
      <c r="AE931" s="75"/>
      <c r="AF931" s="75"/>
      <c r="AG931" s="75"/>
      <c r="AH931" s="75"/>
      <c r="AI931" s="75"/>
      <c r="AJ931" s="75"/>
      <c r="AK931" s="75"/>
      <c r="AL931" s="75"/>
      <c r="AM931" s="75"/>
      <c r="AN931" s="75"/>
      <c r="AO931" s="75"/>
      <c r="AP931" s="75"/>
    </row>
    <row r="932" ht="46.5" customHeight="1">
      <c r="A932" s="1"/>
      <c r="B932" s="38" t="s">
        <v>2439</v>
      </c>
      <c r="C932" s="40" t="s">
        <v>2461</v>
      </c>
      <c r="D932" s="40" t="s">
        <v>2462</v>
      </c>
      <c r="E932" s="38"/>
      <c r="F932" s="38"/>
      <c r="G932" s="38"/>
      <c r="H932" s="41" t="s">
        <v>170</v>
      </c>
      <c r="I932" s="48" t="s">
        <v>2463</v>
      </c>
      <c r="J932" s="42" t="str">
        <f>IFERROR(__xludf.DUMMYFUNCTION("GOOGLETRANSLATE(I932,""en"",""pl"")"),"Mały oświetlacz podczerwieni Clarius PLUS 850 nm, maks. odległość 132 m, niskie zużycie energii (15 W), wbudowana fotokomórka IR wł./wył., wejście telemetryczne do zdalnego przełączania kamery dzień/noc, kąt 10, 30, 60, 95 stopni, IP66")</f>
        <v>Mały oświetlacz podczerwieni Clarius PLUS 850 nm, maks. odległość 132 m, niskie zużycie energii (15 W), wbudowana fotokomórka IR wł./wył., wejście telemetryczne do zdalnego przełączania kamery dzień/noc, kąt 10, 30, 60, 95 stopni, IP66</v>
      </c>
      <c r="K932" s="108"/>
      <c r="L932" s="44">
        <v>346.0</v>
      </c>
      <c r="M932" s="8"/>
      <c r="N932" s="45" t="s">
        <v>22</v>
      </c>
      <c r="O932" s="97"/>
      <c r="P932" s="11"/>
      <c r="Q932" s="9"/>
      <c r="R932" s="59"/>
      <c r="S932" s="59"/>
      <c r="T932" s="59"/>
      <c r="U932" s="9"/>
      <c r="V932" s="9"/>
      <c r="W932" s="9"/>
      <c r="X932" s="9"/>
      <c r="Y932" s="9"/>
      <c r="Z932" s="9"/>
      <c r="AA932" s="9"/>
      <c r="AB932" s="9"/>
      <c r="AC932" s="60"/>
      <c r="AD932" s="61"/>
      <c r="AE932" s="61"/>
      <c r="AF932" s="61"/>
      <c r="AG932" s="61"/>
      <c r="AH932" s="61"/>
      <c r="AI932" s="61"/>
      <c r="AJ932" s="61"/>
      <c r="AK932" s="61"/>
      <c r="AL932" s="61"/>
      <c r="AM932" s="61"/>
      <c r="AN932" s="61"/>
      <c r="AO932" s="61"/>
      <c r="AP932" s="61"/>
    </row>
    <row r="933" ht="46.5" customHeight="1">
      <c r="A933" s="1"/>
      <c r="B933" s="38" t="s">
        <v>2439</v>
      </c>
      <c r="C933" s="40" t="s">
        <v>2464</v>
      </c>
      <c r="D933" s="40" t="s">
        <v>2465</v>
      </c>
      <c r="E933" s="38"/>
      <c r="F933" s="38"/>
      <c r="G933" s="38"/>
      <c r="H933" s="41" t="s">
        <v>170</v>
      </c>
      <c r="I933" s="48" t="s">
        <v>2466</v>
      </c>
      <c r="J933" s="42" t="str">
        <f>IFERROR(__xludf.DUMMYFUNCTION("GOOGLETRANSLATE(I933,""en"",""pl"")"),"Średni oświetlacz podczerwieni Clarius PLUS 850 nm, maks. odległość 187 m, niskie zużycie energii (26 W), wbudowana fotokomórka IR wł./wył., wejście telemetryczne do zdalnego przełączania kamery dzień/noc, kąt 10, 30, 60, 95 stopni, IP66")</f>
        <v>Średni oświetlacz podczerwieni Clarius PLUS 850 nm, maks. odległość 187 m, niskie zużycie energii (26 W), wbudowana fotokomórka IR wł./wył., wejście telemetryczne do zdalnego przełączania kamery dzień/noc, kąt 10, 30, 60, 95 stopni, IP66</v>
      </c>
      <c r="K933" s="108"/>
      <c r="L933" s="44">
        <v>468.0</v>
      </c>
      <c r="M933" s="8"/>
      <c r="N933" s="45" t="s">
        <v>22</v>
      </c>
      <c r="O933" s="97"/>
      <c r="P933" s="11"/>
      <c r="Q933" s="9"/>
      <c r="R933" s="59"/>
      <c r="S933" s="59"/>
      <c r="T933" s="59"/>
      <c r="U933" s="9"/>
      <c r="V933" s="9"/>
      <c r="W933" s="9"/>
      <c r="X933" s="9"/>
      <c r="Y933" s="9"/>
      <c r="Z933" s="9"/>
      <c r="AA933" s="9"/>
      <c r="AB933" s="9"/>
      <c r="AC933" s="60"/>
      <c r="AD933" s="61"/>
      <c r="AE933" s="61"/>
      <c r="AF933" s="61"/>
      <c r="AG933" s="61"/>
      <c r="AH933" s="61"/>
      <c r="AI933" s="61"/>
      <c r="AJ933" s="61"/>
      <c r="AK933" s="61"/>
      <c r="AL933" s="61"/>
      <c r="AM933" s="61"/>
      <c r="AN933" s="61"/>
      <c r="AO933" s="61"/>
      <c r="AP933" s="61"/>
    </row>
    <row r="934" ht="46.5" customHeight="1">
      <c r="A934" s="1"/>
      <c r="B934" s="102" t="s">
        <v>2439</v>
      </c>
      <c r="C934" s="104" t="s">
        <v>2467</v>
      </c>
      <c r="D934" s="104" t="s">
        <v>2468</v>
      </c>
      <c r="E934" s="38"/>
      <c r="F934" s="38"/>
      <c r="G934" s="38"/>
      <c r="H934" s="105" t="s">
        <v>170</v>
      </c>
      <c r="I934" s="106" t="s">
        <v>2469</v>
      </c>
      <c r="J934" s="42" t="str">
        <f>IFERROR(__xludf.DUMMYFUNCTION("GOOGLETRANSLATE(I934,""en"",""pl"")"),"Uchwyt montażowy na słupie do oświetlaczy podczerwieni i światła białego oraz uchwytów ściennych, konstrukcja ze stali nierdzewnej, zawiera paski ze stali nierdzewnej pasujące do słupa o średnicy od 7,5 do 20 cm")</f>
        <v>Uchwyt montażowy na słupie do oświetlaczy podczerwieni i światła białego oraz uchwytów ściennych, konstrukcja ze stali nierdzewnej, zawiera paski ze stali nierdzewnej pasujące do słupa o średnicy od 7,5 do 20 cm</v>
      </c>
      <c r="K934" s="43" t="s">
        <v>21</v>
      </c>
      <c r="L934" s="44">
        <v>104.0</v>
      </c>
      <c r="M934" s="8"/>
      <c r="N934" s="45" t="s">
        <v>22</v>
      </c>
      <c r="O934" s="97"/>
      <c r="P934" s="9"/>
      <c r="Q934" s="9"/>
      <c r="R934" s="59"/>
      <c r="S934" s="59"/>
      <c r="T934" s="59"/>
      <c r="U934" s="9"/>
      <c r="V934" s="9"/>
      <c r="W934" s="9"/>
      <c r="X934" s="9"/>
      <c r="Y934" s="9"/>
      <c r="Z934" s="9"/>
      <c r="AA934" s="9"/>
      <c r="AB934" s="9"/>
      <c r="AC934" s="101"/>
      <c r="AD934" s="75"/>
      <c r="AE934" s="75"/>
      <c r="AF934" s="75"/>
      <c r="AG934" s="75"/>
      <c r="AH934" s="75"/>
      <c r="AI934" s="75"/>
      <c r="AJ934" s="75"/>
      <c r="AK934" s="75"/>
      <c r="AL934" s="75"/>
      <c r="AM934" s="75"/>
      <c r="AN934" s="75"/>
      <c r="AO934" s="75"/>
      <c r="AP934" s="75"/>
    </row>
    <row r="935" ht="30.0" customHeight="1">
      <c r="A935" s="1"/>
      <c r="B935" s="129" t="s">
        <v>2470</v>
      </c>
      <c r="C935" s="113"/>
      <c r="D935" s="113"/>
      <c r="E935" s="144"/>
      <c r="F935" s="144"/>
      <c r="G935" s="144"/>
      <c r="H935" s="94"/>
      <c r="I935" s="113"/>
      <c r="J935" s="42" t="str">
        <f>IFERROR(__xludf.DUMMYFUNCTION("GOOGLETRANSLATE(I935,""en"",""pl"")"),"#VALUE!")</f>
        <v>#VALUE!</v>
      </c>
      <c r="K935" s="144"/>
      <c r="L935" s="114"/>
      <c r="M935" s="115"/>
      <c r="N935" s="96"/>
      <c r="O935" s="146"/>
      <c r="P935" s="11"/>
      <c r="Q935" s="9"/>
      <c r="R935" s="59"/>
      <c r="S935" s="59"/>
      <c r="T935" s="59"/>
      <c r="U935" s="9"/>
      <c r="V935" s="9"/>
      <c r="W935" s="9"/>
      <c r="X935" s="9"/>
      <c r="Y935" s="9"/>
      <c r="Z935" s="9"/>
      <c r="AA935" s="9"/>
      <c r="AB935" s="9"/>
      <c r="AC935" s="60"/>
      <c r="AD935" s="61"/>
      <c r="AE935" s="61"/>
      <c r="AF935" s="61"/>
      <c r="AG935" s="61"/>
      <c r="AH935" s="61"/>
      <c r="AI935" s="61"/>
      <c r="AJ935" s="61"/>
      <c r="AK935" s="61"/>
      <c r="AL935" s="61"/>
      <c r="AM935" s="61"/>
      <c r="AN935" s="61"/>
      <c r="AO935" s="61"/>
      <c r="AP935" s="61"/>
    </row>
    <row r="936" ht="46.5" customHeight="1">
      <c r="A936" s="1"/>
      <c r="B936" s="39" t="s">
        <v>2020</v>
      </c>
      <c r="C936" s="39" t="s">
        <v>2471</v>
      </c>
      <c r="D936" s="40" t="s">
        <v>2056</v>
      </c>
      <c r="E936" s="38"/>
      <c r="F936" s="38"/>
      <c r="G936" s="38"/>
      <c r="H936" s="127" t="s">
        <v>2472</v>
      </c>
      <c r="I936" s="48" t="s">
        <v>2473</v>
      </c>
      <c r="J936" s="42" t="str">
        <f>IFERROR(__xludf.DUMMYFUNCTION("GOOGLETRANSLATE(I936,""en"",""pl"")"),"Monitor FHD 24"", 1080p (1920x1080), 250 nitów, proporcje obrazu 16:9, współczynnik kontrastu 1000:1, czas reakcji 4 ms, HDMI, VGA, DVI, głośniki, VESA")</f>
        <v>Monitor FHD 24", 1080p (1920x1080), 250 nitów, proporcje obrazu 16:9, współczynnik kontrastu 1000:1, czas reakcji 4 ms, HDMI, VGA, DVI, głośniki, VESA</v>
      </c>
      <c r="K936" s="38"/>
      <c r="L936" s="44">
        <v>237.0</v>
      </c>
      <c r="M936" s="8"/>
      <c r="N936" s="45" t="s">
        <v>81</v>
      </c>
      <c r="O936" s="97"/>
      <c r="P936" s="11"/>
      <c r="Q936" s="9"/>
      <c r="R936" s="59"/>
      <c r="S936" s="59"/>
      <c r="T936" s="59"/>
      <c r="U936" s="9"/>
      <c r="V936" s="9"/>
      <c r="W936" s="9"/>
      <c r="X936" s="9"/>
      <c r="Y936" s="9"/>
      <c r="Z936" s="9"/>
      <c r="AA936" s="9"/>
      <c r="AB936" s="9"/>
      <c r="AC936" s="60"/>
      <c r="AD936" s="61"/>
      <c r="AE936" s="61"/>
      <c r="AF936" s="61"/>
      <c r="AG936" s="61"/>
      <c r="AH936" s="61"/>
      <c r="AI936" s="61"/>
      <c r="AJ936" s="61"/>
      <c r="AK936" s="61"/>
      <c r="AL936" s="61"/>
      <c r="AM936" s="61"/>
      <c r="AN936" s="61"/>
      <c r="AO936" s="61"/>
      <c r="AP936" s="61"/>
    </row>
    <row r="937" ht="46.5" customHeight="1">
      <c r="A937" s="1"/>
      <c r="B937" s="117" t="s">
        <v>2020</v>
      </c>
      <c r="C937" s="118" t="s">
        <v>2474</v>
      </c>
      <c r="D937" s="118" t="s">
        <v>2050</v>
      </c>
      <c r="E937" s="38"/>
      <c r="F937" s="38"/>
      <c r="G937" s="38"/>
      <c r="H937" s="157" t="s">
        <v>2475</v>
      </c>
      <c r="I937" s="121" t="s">
        <v>2476</v>
      </c>
      <c r="J937" s="42" t="str">
        <f>IFERROR(__xludf.DUMMYFUNCTION("GOOGLETRANSLATE(I937,""en"",""pl"")"),"Monitor FHD 27"", 1080p (1920x1080), 250 nitów, proporcje obrazu 16:9, współczynnik kontrastu 3000:1, czas reakcji 5 ms, HDMI, VGA, DVI, głośniki, VESA")</f>
        <v>Monitor FHD 27", 1080p (1920x1080), 250 nitów, proporcje obrazu 16:9, współczynnik kontrastu 3000:1, czas reakcji 5 ms, HDMI, VGA, DVI, głośniki, VESA</v>
      </c>
      <c r="K937" s="38"/>
      <c r="L937" s="44">
        <v>299.0</v>
      </c>
      <c r="M937" s="8"/>
      <c r="N937" s="45" t="s">
        <v>81</v>
      </c>
      <c r="O937" s="97"/>
      <c r="P937" s="11"/>
      <c r="Q937" s="9"/>
      <c r="R937" s="59"/>
      <c r="S937" s="59"/>
      <c r="T937" s="59"/>
      <c r="U937" s="9"/>
      <c r="V937" s="9"/>
      <c r="W937" s="9"/>
      <c r="X937" s="9"/>
      <c r="Y937" s="9"/>
      <c r="Z937" s="9"/>
      <c r="AA937" s="9"/>
      <c r="AB937" s="9"/>
      <c r="AC937" s="60"/>
      <c r="AD937" s="61"/>
      <c r="AE937" s="61"/>
      <c r="AF937" s="61"/>
      <c r="AG937" s="61"/>
      <c r="AH937" s="61"/>
      <c r="AI937" s="61"/>
      <c r="AJ937" s="61"/>
      <c r="AK937" s="61"/>
      <c r="AL937" s="61"/>
      <c r="AM937" s="61"/>
      <c r="AN937" s="61"/>
      <c r="AO937" s="61"/>
      <c r="AP937" s="61"/>
    </row>
    <row r="938" ht="46.5" customHeight="1">
      <c r="A938" s="1"/>
      <c r="B938" s="39" t="s">
        <v>2020</v>
      </c>
      <c r="C938" s="40" t="s">
        <v>2477</v>
      </c>
      <c r="D938" s="40" t="s">
        <v>2478</v>
      </c>
      <c r="E938" s="38"/>
      <c r="F938" s="38"/>
      <c r="G938" s="38"/>
      <c r="H938" s="41" t="s">
        <v>2479</v>
      </c>
      <c r="I938" s="48" t="s">
        <v>2480</v>
      </c>
      <c r="J938" s="42" t="str">
        <f>IFERROR(__xludf.DUMMYFUNCTION("GOOGLETRANSLATE(I938,""en"",""pl"")"),"32-calowy monitor LED FHD, 1080p (1920x1080), 250 nitów, współczynnik proporcji 16:9, współczynnik kontrastu 5000:1, czas reakcji 8 ms, HDMI, HDCP2.2 VGA")</f>
        <v>32-calowy monitor LED FHD, 1080p (1920x1080), 250 nitów, współczynnik proporcji 16:9, współczynnik kontrastu 5000:1, czas reakcji 8 ms, HDMI, HDCP2.2 VGA</v>
      </c>
      <c r="K938" s="38"/>
      <c r="L938" s="44">
        <v>750.0</v>
      </c>
      <c r="M938" s="8"/>
      <c r="N938" s="45" t="s">
        <v>81</v>
      </c>
      <c r="O938" s="97"/>
      <c r="P938" s="11"/>
      <c r="Q938" s="9"/>
      <c r="R938" s="59"/>
      <c r="S938" s="59"/>
      <c r="T938" s="59"/>
      <c r="U938" s="9"/>
      <c r="V938" s="9"/>
      <c r="W938" s="9"/>
      <c r="X938" s="9"/>
      <c r="Y938" s="9"/>
      <c r="Z938" s="9"/>
      <c r="AA938" s="9"/>
      <c r="AB938" s="9"/>
      <c r="AC938" s="60"/>
      <c r="AD938" s="61"/>
      <c r="AE938" s="61"/>
      <c r="AF938" s="61"/>
      <c r="AG938" s="61"/>
      <c r="AH938" s="61"/>
      <c r="AI938" s="61"/>
      <c r="AJ938" s="61"/>
      <c r="AK938" s="61"/>
      <c r="AL938" s="61"/>
      <c r="AM938" s="61"/>
      <c r="AN938" s="61"/>
      <c r="AO938" s="61"/>
      <c r="AP938" s="61"/>
    </row>
    <row r="939" ht="46.5" customHeight="1">
      <c r="A939" s="1"/>
      <c r="B939" s="39" t="s">
        <v>2481</v>
      </c>
      <c r="C939" s="40" t="s">
        <v>2482</v>
      </c>
      <c r="D939" s="40" t="s">
        <v>2483</v>
      </c>
      <c r="E939" s="38"/>
      <c r="F939" s="38"/>
      <c r="G939" s="38"/>
      <c r="H939" s="127" t="s">
        <v>2484</v>
      </c>
      <c r="I939" s="48" t="s">
        <v>2485</v>
      </c>
      <c r="J939" s="42" t="str">
        <f>IFERROR(__xludf.DUMMYFUNCTION("GOOGLETRANSLATE(I939,""en"",""pl"")"),"32-calowy, wolnostojący, inteligentny wyświetlacz LED Samsung Edge, 1920 x 1080 (16:9), ultracienka głębokość (28,5 mm), równomierna ramka, 400 nitów, Tizen 7.0 - Wi-Fi* - 8 GB, współczynnik kontrastu 1200:1, 3 x HDMI 2.0, brak DP, zgodność ze standardem "&amp;"VESA (100 x 100 mm), czujnik otoczenia, nowy interfejs użytkownika Home, IP5x, BT")</f>
        <v>32-calowy, wolnostojący, inteligentny wyświetlacz LED Samsung Edge, 1920 x 1080 (16:9), ultracienka głębokość (28,5 mm), równomierna ramka, 400 nitów, Tizen 7.0 - Wi-Fi* - 8 GB, współczynnik kontrastu 1200:1, 3 x HDMI 2.0, brak DP, zgodność ze standardem VESA (100 x 100 mm), czujnik otoczenia, nowy interfejs użytkownika Home, IP5x, BT</v>
      </c>
      <c r="K939" s="38"/>
      <c r="L939" s="44">
        <v>1392.0</v>
      </c>
      <c r="M939" s="8"/>
      <c r="N939" s="45" t="s">
        <v>81</v>
      </c>
      <c r="O939" s="97"/>
      <c r="P939" s="11"/>
      <c r="Q939" s="9"/>
      <c r="R939" s="59"/>
      <c r="S939" s="59"/>
      <c r="T939" s="59"/>
      <c r="U939" s="9"/>
      <c r="V939" s="9"/>
      <c r="W939" s="9"/>
      <c r="X939" s="9"/>
      <c r="Y939" s="9"/>
      <c r="Z939" s="9"/>
      <c r="AA939" s="9"/>
      <c r="AB939" s="9"/>
      <c r="AC939" s="60"/>
      <c r="AD939" s="61"/>
      <c r="AE939" s="61"/>
      <c r="AF939" s="61"/>
      <c r="AG939" s="61"/>
      <c r="AH939" s="61"/>
      <c r="AI939" s="61"/>
      <c r="AJ939" s="61"/>
      <c r="AK939" s="61"/>
      <c r="AL939" s="61"/>
      <c r="AM939" s="61"/>
      <c r="AN939" s="61"/>
      <c r="AO939" s="61"/>
      <c r="AP939" s="61"/>
    </row>
    <row r="940" ht="46.5" customHeight="1">
      <c r="A940" s="1"/>
      <c r="B940" s="39" t="s">
        <v>2481</v>
      </c>
      <c r="C940" s="40" t="s">
        <v>2486</v>
      </c>
      <c r="D940" s="40" t="s">
        <v>2487</v>
      </c>
      <c r="E940" s="38"/>
      <c r="F940" s="38"/>
      <c r="G940" s="38"/>
      <c r="H940" s="127" t="s">
        <v>2488</v>
      </c>
      <c r="I940" s="48" t="s">
        <v>2489</v>
      </c>
      <c r="J940" s="42" t="str">
        <f>IFERROR(__xludf.DUMMYFUNCTION("GOOGLETRANSLATE(I940,""en"",""pl"")"),"43-calowy, wolnostojący, inteligentny wyświetlacz UHD LED Samsung Edge, 3840 x 2160 (16:9), ultracienka głębokość (28,5 mm), równomierna ramka, 500 nitów, Tizen 7.0 - Wi-Fi - 16 GB, współczynnik kontrastu 1200:1, 3 x HDMI 2.0, 1 x DP 1.2, WMN-B50SC, zgodn"&amp;"y ze standardem VESA (200 x 200 mm), czujnik otoczenia, nowy interfejs użytkownika Home, IP5x, BT")</f>
        <v>43-calowy, wolnostojący, inteligentny wyświetlacz UHD LED Samsung Edge, 3840 x 2160 (16:9), ultracienka głębokość (28,5 mm), równomierna ramka, 500 nitów, Tizen 7.0 - Wi-Fi - 16 GB, współczynnik kontrastu 1200:1, 3 x HDMI 2.0, 1 x DP 1.2, WMN-B50SC, zgodny ze standardem VESA (200 x 200 mm), czujnik otoczenia, nowy interfejs użytkownika Home, IP5x, BT</v>
      </c>
      <c r="K940" s="38"/>
      <c r="L940" s="44">
        <v>1725.0</v>
      </c>
      <c r="M940" s="8"/>
      <c r="N940" s="45" t="s">
        <v>81</v>
      </c>
      <c r="O940" s="97"/>
      <c r="P940" s="11"/>
      <c r="Q940" s="9"/>
      <c r="R940" s="59"/>
      <c r="S940" s="59"/>
      <c r="T940" s="59"/>
      <c r="U940" s="9"/>
      <c r="V940" s="9"/>
      <c r="W940" s="9"/>
      <c r="X940" s="9"/>
      <c r="Y940" s="9"/>
      <c r="Z940" s="9"/>
      <c r="AA940" s="9"/>
      <c r="AB940" s="9"/>
      <c r="AC940" s="60"/>
      <c r="AD940" s="61"/>
      <c r="AE940" s="61"/>
      <c r="AF940" s="61"/>
      <c r="AG940" s="61"/>
      <c r="AH940" s="61"/>
      <c r="AI940" s="61"/>
      <c r="AJ940" s="61"/>
      <c r="AK940" s="61"/>
      <c r="AL940" s="61"/>
      <c r="AM940" s="61"/>
      <c r="AN940" s="61"/>
      <c r="AO940" s="61"/>
      <c r="AP940" s="61"/>
    </row>
    <row r="941" ht="46.5" customHeight="1">
      <c r="A941" s="1"/>
      <c r="B941" s="39" t="s">
        <v>2481</v>
      </c>
      <c r="C941" s="40" t="s">
        <v>2490</v>
      </c>
      <c r="D941" s="40" t="s">
        <v>2491</v>
      </c>
      <c r="E941" s="38"/>
      <c r="F941" s="38"/>
      <c r="G941" s="38"/>
      <c r="H941" s="127" t="s">
        <v>2492</v>
      </c>
      <c r="I941" s="48" t="s">
        <v>2493</v>
      </c>
      <c r="J941" s="42" t="str">
        <f>IFERROR(__xludf.DUMMYFUNCTION("GOOGLETRANSLATE(I941,""en"",""pl"")"),"50-calowy, wolnostojący, inteligentny wyświetlacz UHD LED Samsung Edge, 3840 x 2160 (16:9), ultracienka głębokość (28,5 mm), równomierna ramka, 500 nitów, Tizen 7.0 - Wi-Fi - 16 GB, współczynnik kontrastu 1200:1, 3 x HDMI 2.0, 1 x DP 1.2, WMN-B50SC, zgodn"&amp;"y ze standardem VESA (200 x 200 mm), czujnik otoczenia, nowy interfejs użytkownika Home, IP5x, BT")</f>
        <v>50-calowy, wolnostojący, inteligentny wyświetlacz UHD LED Samsung Edge, 3840 x 2160 (16:9), ultracienka głębokość (28,5 mm), równomierna ramka, 500 nitów, Tizen 7.0 - Wi-Fi - 16 GB, współczynnik kontrastu 1200:1, 3 x HDMI 2.0, 1 x DP 1.2, WMN-B50SC, zgodny ze standardem VESA (200 x 200 mm), czujnik otoczenia, nowy interfejs użytkownika Home, IP5x, BT</v>
      </c>
      <c r="K941" s="38"/>
      <c r="L941" s="44">
        <v>1983.0</v>
      </c>
      <c r="M941" s="8"/>
      <c r="N941" s="45" t="s">
        <v>81</v>
      </c>
      <c r="O941" s="97"/>
      <c r="P941" s="11"/>
      <c r="Q941" s="9"/>
      <c r="R941" s="59"/>
      <c r="S941" s="59"/>
      <c r="T941" s="59"/>
      <c r="U941" s="9"/>
      <c r="V941" s="9"/>
      <c r="W941" s="9"/>
      <c r="X941" s="9"/>
      <c r="Y941" s="9"/>
      <c r="Z941" s="9"/>
      <c r="AA941" s="9"/>
      <c r="AB941" s="9"/>
      <c r="AC941" s="60"/>
      <c r="AD941" s="61"/>
      <c r="AE941" s="61"/>
      <c r="AF941" s="61"/>
      <c r="AG941" s="61"/>
      <c r="AH941" s="61"/>
      <c r="AI941" s="61"/>
      <c r="AJ941" s="61"/>
      <c r="AK941" s="61"/>
      <c r="AL941" s="61"/>
      <c r="AM941" s="61"/>
      <c r="AN941" s="61"/>
      <c r="AO941" s="61"/>
      <c r="AP941" s="61"/>
    </row>
    <row r="942" ht="46.5" customHeight="1">
      <c r="A942" s="1"/>
      <c r="B942" s="39" t="s">
        <v>2481</v>
      </c>
      <c r="C942" s="40" t="s">
        <v>2494</v>
      </c>
      <c r="D942" s="40" t="s">
        <v>2495</v>
      </c>
      <c r="E942" s="38"/>
      <c r="F942" s="38"/>
      <c r="G942" s="38"/>
      <c r="H942" s="127" t="s">
        <v>2496</v>
      </c>
      <c r="I942" s="48" t="s">
        <v>2497</v>
      </c>
      <c r="J942" s="42" t="str">
        <f>IFERROR(__xludf.DUMMYFUNCTION("GOOGLETRANSLATE(I942,""en"",""pl"")"),"55-calowy, wolnostojący, inteligentny wyświetlacz UHD LED Samsung Edge, 3840 x 2160 (16:9), ultracienka głębokość (28,5 mm), równomierna ramka, 500 nitów, Tizen 7.0 - Wi-Fi - 16 GB, współczynnik kontrastu 4000:1, 3 x HDMI 2.0, 1 x DP 1.2, WMN-B50SC, zgodn"&amp;"y ze standardem VESA (200 x 200 mm), czujnik otoczenia, nowy interfejs użytkownika Home, IP5x, BT")</f>
        <v>55-calowy, wolnostojący, inteligentny wyświetlacz UHD LED Samsung Edge, 3840 x 2160 (16:9), ultracienka głębokość (28,5 mm), równomierna ramka, 500 nitów, Tizen 7.0 - Wi-Fi - 16 GB, współczynnik kontrastu 4000:1, 3 x HDMI 2.0, 1 x DP 1.2, WMN-B50SC, zgodny ze standardem VESA (200 x 200 mm), czujnik otoczenia, nowy interfejs użytkownika Home, IP5x, BT</v>
      </c>
      <c r="K942" s="38"/>
      <c r="L942" s="44">
        <v>2229.0</v>
      </c>
      <c r="M942" s="8"/>
      <c r="N942" s="45" t="s">
        <v>81</v>
      </c>
      <c r="O942" s="97"/>
      <c r="P942" s="11"/>
      <c r="Q942" s="9"/>
      <c r="R942" s="59"/>
      <c r="S942" s="59"/>
      <c r="T942" s="59"/>
      <c r="U942" s="9"/>
      <c r="V942" s="9"/>
      <c r="W942" s="9"/>
      <c r="X942" s="9"/>
      <c r="Y942" s="9"/>
      <c r="Z942" s="9"/>
      <c r="AA942" s="9"/>
      <c r="AB942" s="9"/>
      <c r="AC942" s="60"/>
      <c r="AD942" s="61"/>
      <c r="AE942" s="61"/>
      <c r="AF942" s="61"/>
      <c r="AG942" s="61"/>
      <c r="AH942" s="61"/>
      <c r="AI942" s="61"/>
      <c r="AJ942" s="61"/>
      <c r="AK942" s="61"/>
      <c r="AL942" s="61"/>
      <c r="AM942" s="61"/>
      <c r="AN942" s="61"/>
      <c r="AO942" s="61"/>
      <c r="AP942" s="61"/>
    </row>
    <row r="943" ht="46.5" customHeight="1">
      <c r="A943" s="1"/>
      <c r="B943" s="39" t="s">
        <v>2481</v>
      </c>
      <c r="C943" s="40" t="s">
        <v>2498</v>
      </c>
      <c r="D943" s="40" t="s">
        <v>2499</v>
      </c>
      <c r="E943" s="38"/>
      <c r="F943" s="38"/>
      <c r="G943" s="38"/>
      <c r="H943" s="127" t="s">
        <v>2500</v>
      </c>
      <c r="I943" s="48" t="s">
        <v>2501</v>
      </c>
      <c r="J943" s="42" t="str">
        <f>IFERROR(__xludf.DUMMYFUNCTION("GOOGLETRANSLATE(I943,""en"",""pl"")"),"65-calowy, wolnostojący, inteligentny wyświetlacz UHD LED Samsung Edge, 3840 x 2160 (16:9), ultracienka głębokość (28,5 mm), równomierna ramka, 500 nitów, Tizen 7.0 - Wi-Fi - 16 GB, współczynnik kontrastu 4000:1, 3 x HDMI 2.0, 1 x DP 1.2, WMN-B50SC, zgodn"&amp;"y ze standardem VESA (400 x 300 mm), czujnik otoczenia, nowy interfejs użytkownika Home, IP5x, BT")</f>
        <v>65-calowy, wolnostojący, inteligentny wyświetlacz UHD LED Samsung Edge, 3840 x 2160 (16:9), ultracienka głębokość (28,5 mm), równomierna ramka, 500 nitów, Tizen 7.0 - Wi-Fi - 16 GB, współczynnik kontrastu 4000:1, 3 x HDMI 2.0, 1 x DP 1.2, WMN-B50SC, zgodny ze standardem VESA (400 x 300 mm), czujnik otoczenia, nowy interfejs użytkownika Home, IP5x, BT</v>
      </c>
      <c r="K943" s="38"/>
      <c r="L943" s="44">
        <v>3342.0</v>
      </c>
      <c r="M943" s="8"/>
      <c r="N943" s="45" t="s">
        <v>81</v>
      </c>
      <c r="O943" s="97"/>
      <c r="P943" s="11"/>
      <c r="Q943" s="9"/>
      <c r="R943" s="59"/>
      <c r="S943" s="59"/>
      <c r="T943" s="59"/>
      <c r="U943" s="9"/>
      <c r="V943" s="9"/>
      <c r="W943" s="9"/>
      <c r="X943" s="9"/>
      <c r="Y943" s="9"/>
      <c r="Z943" s="9"/>
      <c r="AA943" s="9"/>
      <c r="AB943" s="9"/>
      <c r="AC943" s="60"/>
      <c r="AD943" s="61"/>
      <c r="AE943" s="61"/>
      <c r="AF943" s="61"/>
      <c r="AG943" s="61"/>
      <c r="AH943" s="61"/>
      <c r="AI943" s="61"/>
      <c r="AJ943" s="61"/>
      <c r="AK943" s="61"/>
      <c r="AL943" s="61"/>
      <c r="AM943" s="61"/>
      <c r="AN943" s="61"/>
      <c r="AO943" s="61"/>
      <c r="AP943" s="61"/>
    </row>
    <row r="944" ht="46.5" customHeight="1">
      <c r="A944" s="1"/>
      <c r="B944" s="39" t="s">
        <v>2481</v>
      </c>
      <c r="C944" s="40" t="s">
        <v>2502</v>
      </c>
      <c r="D944" s="40" t="s">
        <v>2503</v>
      </c>
      <c r="E944" s="38"/>
      <c r="F944" s="38"/>
      <c r="G944" s="38"/>
      <c r="H944" s="127" t="s">
        <v>2504</v>
      </c>
      <c r="I944" s="48" t="s">
        <v>2505</v>
      </c>
      <c r="J944" s="42" t="str">
        <f>IFERROR(__xludf.DUMMYFUNCTION("GOOGLETRANSLATE(I944,""en"",""pl"")"),"75-calowy, wolnostojący, inteligentny wyświetlacz UHD LED Samsung Edge, 3840 x 2160 (16:9), ultracienka głębokość (28,5 mm), równomierna ramka, 500 nitów, Tizen 7.0 - Wi-Fi - 16 GB, współczynnik kontrastu 4000:1, 3 x HDMI 2.0, 1 x DP 1.2, WMN-B50SC, zgodn"&amp;"y ze standardem VESA (400 x 400 mm), czujnik otoczenia, nowy interfejs użytkownika Home, IP5x, BT")</f>
        <v>75-calowy, wolnostojący, inteligentny wyświetlacz UHD LED Samsung Edge, 3840 x 2160 (16:9), ultracienka głębokość (28,5 mm), równomierna ramka, 500 nitów, Tizen 7.0 - Wi-Fi - 16 GB, współczynnik kontrastu 4000:1, 3 x HDMI 2.0, 1 x DP 1.2, WMN-B50SC, zgodny ze standardem VESA (400 x 400 mm), czujnik otoczenia, nowy interfejs użytkownika Home, IP5x, BT</v>
      </c>
      <c r="K944" s="38"/>
      <c r="L944" s="44">
        <v>4805.0</v>
      </c>
      <c r="M944" s="8"/>
      <c r="N944" s="45" t="s">
        <v>81</v>
      </c>
      <c r="O944" s="97"/>
      <c r="P944" s="11"/>
      <c r="Q944" s="9"/>
      <c r="R944" s="59"/>
      <c r="S944" s="59"/>
      <c r="T944" s="59"/>
      <c r="U944" s="9"/>
      <c r="V944" s="9"/>
      <c r="W944" s="9"/>
      <c r="X944" s="9"/>
      <c r="Y944" s="9"/>
      <c r="Z944" s="9"/>
      <c r="AA944" s="9"/>
      <c r="AB944" s="9"/>
      <c r="AC944" s="60"/>
      <c r="AD944" s="61"/>
      <c r="AE944" s="61"/>
      <c r="AF944" s="61"/>
      <c r="AG944" s="61"/>
      <c r="AH944" s="61"/>
      <c r="AI944" s="61"/>
      <c r="AJ944" s="61"/>
      <c r="AK944" s="61"/>
      <c r="AL944" s="61"/>
      <c r="AM944" s="61"/>
      <c r="AN944" s="61"/>
      <c r="AO944" s="61"/>
      <c r="AP944" s="61"/>
    </row>
    <row r="945" ht="46.5" customHeight="1">
      <c r="A945" s="1"/>
      <c r="B945" s="39" t="s">
        <v>2481</v>
      </c>
      <c r="C945" s="40" t="s">
        <v>2506</v>
      </c>
      <c r="D945" s="40" t="s">
        <v>2507</v>
      </c>
      <c r="E945" s="38"/>
      <c r="F945" s="38"/>
      <c r="G945" s="38"/>
      <c r="H945" s="127" t="s">
        <v>2508</v>
      </c>
      <c r="I945" s="48" t="s">
        <v>2509</v>
      </c>
      <c r="J945" s="42" t="str">
        <f>IFERROR(__xludf.DUMMYFUNCTION("GOOGLETRANSLATE(I945,""en"",""pl"")"),"85-calowy, wolnostojący, inteligentny wyświetlacz UHD LED Samsung Edge, 3840 x 2160 (16:9), ultracienka głębokość (28,5 mm), równomierna ramka, 500 nitów, Tizen 7.0 - Wi-Fi - 16 GB, współczynnik kontrastu 4000:1, 3 x HDMI 2.0, 1 x DP 1.2, zgodny ze standa"&amp;"rdem VESA (600 x 400 mm), czujnik otoczenia, nowy interfejs użytkownika Home, IP5x, BT")</f>
        <v>85-calowy, wolnostojący, inteligentny wyświetlacz UHD LED Samsung Edge, 3840 x 2160 (16:9), ultracienka głębokość (28,5 mm), równomierna ramka, 500 nitów, Tizen 7.0 - Wi-Fi - 16 GB, współczynnik kontrastu 4000:1, 3 x HDMI 2.0, 1 x DP 1.2, zgodny ze standardem VESA (600 x 400 mm), czujnik otoczenia, nowy interfejs użytkownika Home, IP5x, BT</v>
      </c>
      <c r="K945" s="38"/>
      <c r="L945" s="44">
        <v>7334.0</v>
      </c>
      <c r="M945" s="8"/>
      <c r="N945" s="45" t="s">
        <v>81</v>
      </c>
      <c r="O945" s="97"/>
      <c r="P945" s="11"/>
      <c r="Q945" s="9"/>
      <c r="R945" s="59"/>
      <c r="S945" s="59"/>
      <c r="T945" s="59"/>
      <c r="U945" s="9"/>
      <c r="V945" s="9"/>
      <c r="W945" s="9"/>
      <c r="X945" s="9"/>
      <c r="Y945" s="9"/>
      <c r="Z945" s="9"/>
      <c r="AA945" s="9"/>
      <c r="AB945" s="9"/>
      <c r="AC945" s="60"/>
      <c r="AD945" s="61"/>
      <c r="AE945" s="61"/>
      <c r="AF945" s="61"/>
      <c r="AG945" s="61"/>
      <c r="AH945" s="61"/>
      <c r="AI945" s="61"/>
      <c r="AJ945" s="61"/>
      <c r="AK945" s="61"/>
      <c r="AL945" s="61"/>
      <c r="AM945" s="61"/>
      <c r="AN945" s="61"/>
      <c r="AO945" s="61"/>
      <c r="AP945" s="61"/>
    </row>
    <row r="946" ht="46.5" customHeight="1">
      <c r="A946" s="1"/>
      <c r="B946" s="39" t="s">
        <v>2510</v>
      </c>
      <c r="C946" s="39" t="s">
        <v>2511</v>
      </c>
      <c r="D946" s="40" t="s">
        <v>2512</v>
      </c>
      <c r="E946" s="38"/>
      <c r="F946" s="38"/>
      <c r="G946" s="38"/>
      <c r="H946" s="127" t="s">
        <v>2513</v>
      </c>
      <c r="I946" s="48" t="s">
        <v>2514</v>
      </c>
      <c r="J946" s="42" t="str">
        <f>IFERROR(__xludf.DUMMYFUNCTION("GOOGLETRANSLATE(I946,""en"",""pl"")"),"46-calowy wyświetlacz LED Samsung Direct FHD Videowall, 1920 x 1080 (16:9), supercienka ramka (odległość od ramki 3,5 mm), 500 nitów, współczynnik kontrastu 1200:1, czas reakcji 8 ms, 2x HDMI 2.0, 1x DP 1.2, WMN-55VD, połączenie szeregowe 4K, zgodność ze "&amp;"standardem VESA (600 x 400 mm)")</f>
        <v>46-calowy wyświetlacz LED Samsung Direct FHD Videowall, 1920 x 1080 (16:9), supercienka ramka (odległość od ramki 3,5 mm), 500 nitów, współczynnik kontrastu 1200:1, czas reakcji 8 ms, 2x HDMI 2.0, 1x DP 1.2, WMN-55VD, połączenie szeregowe 4K, zgodność ze standardem VESA (600 x 400 mm)</v>
      </c>
      <c r="K946" s="38"/>
      <c r="L946" s="44">
        <v>3141.0</v>
      </c>
      <c r="M946" s="8"/>
      <c r="N946" s="45" t="s">
        <v>81</v>
      </c>
      <c r="O946" s="97"/>
      <c r="P946" s="11"/>
      <c r="Q946" s="9"/>
      <c r="R946" s="59"/>
      <c r="S946" s="59"/>
      <c r="T946" s="59"/>
      <c r="U946" s="9"/>
      <c r="V946" s="9"/>
      <c r="W946" s="9"/>
      <c r="X946" s="9"/>
      <c r="Y946" s="9"/>
      <c r="Z946" s="9"/>
      <c r="AA946" s="9"/>
      <c r="AB946" s="9"/>
      <c r="AC946" s="60"/>
      <c r="AD946" s="61"/>
      <c r="AE946" s="61"/>
      <c r="AF946" s="61"/>
      <c r="AG946" s="61"/>
      <c r="AH946" s="61"/>
      <c r="AI946" s="61"/>
      <c r="AJ946" s="61"/>
      <c r="AK946" s="61"/>
      <c r="AL946" s="61"/>
      <c r="AM946" s="61"/>
      <c r="AN946" s="61"/>
      <c r="AO946" s="61"/>
      <c r="AP946" s="61"/>
    </row>
    <row r="947" ht="46.5" customHeight="1">
      <c r="A947" s="1"/>
      <c r="B947" s="39" t="s">
        <v>2510</v>
      </c>
      <c r="C947" s="40" t="s">
        <v>2515</v>
      </c>
      <c r="D947" s="40" t="s">
        <v>2516</v>
      </c>
      <c r="E947" s="38"/>
      <c r="F947" s="38"/>
      <c r="G947" s="38"/>
      <c r="H947" s="127" t="s">
        <v>2517</v>
      </c>
      <c r="I947" s="48" t="s">
        <v>2518</v>
      </c>
      <c r="J947" s="42" t="str">
        <f>IFERROR(__xludf.DUMMYFUNCTION("GOOGLETRANSLATE(I947,""en"",""pl"")"),"55-calowy wyświetlacz LED Samsung Direct FHD Videowall, 1920 x 1080 (16:9), supercienka ramka (odległość od ramki 3,5 mm), 500 nitów, współczynnik kontrastu 1200:1, czas reakcji 8 ms, 2x HDMI 2.0, 1x DP 1.2, WMN-55VD, połączenie szeregowe 4K, zgodność ze "&amp;"standardem VESA (600 x 400 mm)")</f>
        <v>55-calowy wyświetlacz LED Samsung Direct FHD Videowall, 1920 x 1080 (16:9), supercienka ramka (odległość od ramki 3,5 mm), 500 nitów, współczynnik kontrastu 1200:1, czas reakcji 8 ms, 2x HDMI 2.0, 1x DP 1.2, WMN-55VD, połączenie szeregowe 4K, zgodność ze standardem VESA (600 x 400 mm)</v>
      </c>
      <c r="K947" s="38"/>
      <c r="L947" s="44">
        <v>5109.0</v>
      </c>
      <c r="M947" s="8"/>
      <c r="N947" s="45" t="s">
        <v>81</v>
      </c>
      <c r="O947" s="97"/>
      <c r="P947" s="11"/>
      <c r="Q947" s="9"/>
      <c r="R947" s="59"/>
      <c r="S947" s="59"/>
      <c r="T947" s="59"/>
      <c r="U947" s="9"/>
      <c r="V947" s="9"/>
      <c r="W947" s="9"/>
      <c r="X947" s="9"/>
      <c r="Y947" s="9"/>
      <c r="Z947" s="9"/>
      <c r="AA947" s="9"/>
      <c r="AB947" s="9"/>
      <c r="AC947" s="60"/>
      <c r="AD947" s="61"/>
      <c r="AE947" s="61"/>
      <c r="AF947" s="61"/>
      <c r="AG947" s="61"/>
      <c r="AH947" s="61"/>
      <c r="AI947" s="61"/>
      <c r="AJ947" s="61"/>
      <c r="AK947" s="61"/>
      <c r="AL947" s="61"/>
      <c r="AM947" s="61"/>
      <c r="AN947" s="61"/>
      <c r="AO947" s="61"/>
      <c r="AP947" s="61"/>
    </row>
    <row r="948" ht="46.5" customHeight="1">
      <c r="A948" s="1"/>
      <c r="B948" s="39" t="s">
        <v>2510</v>
      </c>
      <c r="C948" s="40" t="s">
        <v>2519</v>
      </c>
      <c r="D948" s="40" t="s">
        <v>2520</v>
      </c>
      <c r="E948" s="38"/>
      <c r="F948" s="38"/>
      <c r="G948" s="38"/>
      <c r="H948" s="127" t="s">
        <v>2521</v>
      </c>
      <c r="I948" s="48" t="s">
        <v>2522</v>
      </c>
      <c r="J948" s="42" t="str">
        <f>IFERROR(__xludf.DUMMYFUNCTION("GOOGLETRANSLATE(I948,""en"",""pl"")"),"55-calowy wyświetlacz LED Samsung Direct FHD Videowall, 1920 x 1080 (16:9), ultracienka ramka (odległość od ramki 1,7 mm), 500 nitów, współczynnik kontrastu 1000:1, czas reakcji 8 ms, 2x HDMI 2.0, 1x DP 1.2, WMN-55VD, połączenie szeregowe 4K, zgodność ze "&amp;"standardem VESA (600 x 400 mm)")</f>
        <v>55-calowy wyświetlacz LED Samsung Direct FHD Videowall, 1920 x 1080 (16:9), ultracienka ramka (odległość od ramki 1,7 mm), 500 nitów, współczynnik kontrastu 1000:1, czas reakcji 8 ms, 2x HDMI 2.0, 1x DP 1.2, WMN-55VD, połączenie szeregowe 4K, zgodność ze standardem VESA (600 x 400 mm)</v>
      </c>
      <c r="K948" s="38"/>
      <c r="L948" s="44">
        <v>6084.0</v>
      </c>
      <c r="M948" s="8"/>
      <c r="N948" s="45" t="s">
        <v>81</v>
      </c>
      <c r="O948" s="97"/>
      <c r="P948" s="11"/>
      <c r="Q948" s="9"/>
      <c r="R948" s="59"/>
      <c r="S948" s="59"/>
      <c r="T948" s="59"/>
      <c r="U948" s="9"/>
      <c r="V948" s="9"/>
      <c r="W948" s="9"/>
      <c r="X948" s="9"/>
      <c r="Y948" s="9"/>
      <c r="Z948" s="9"/>
      <c r="AA948" s="9"/>
      <c r="AB948" s="9"/>
      <c r="AC948" s="60"/>
      <c r="AD948" s="61"/>
      <c r="AE948" s="61"/>
      <c r="AF948" s="61"/>
      <c r="AG948" s="61"/>
      <c r="AH948" s="61"/>
      <c r="AI948" s="61"/>
      <c r="AJ948" s="61"/>
      <c r="AK948" s="61"/>
      <c r="AL948" s="61"/>
      <c r="AM948" s="61"/>
      <c r="AN948" s="61"/>
      <c r="AO948" s="61"/>
      <c r="AP948" s="61"/>
    </row>
    <row r="949" ht="46.5" customHeight="1">
      <c r="A949" s="1"/>
      <c r="B949" s="39" t="s">
        <v>2510</v>
      </c>
      <c r="C949" s="40" t="s">
        <v>2523</v>
      </c>
      <c r="D949" s="40" t="s">
        <v>2520</v>
      </c>
      <c r="E949" s="38"/>
      <c r="F949" s="38"/>
      <c r="G949" s="38"/>
      <c r="H949" s="127" t="s">
        <v>2524</v>
      </c>
      <c r="I949" s="48" t="s">
        <v>2525</v>
      </c>
      <c r="J949" s="42" t="str">
        <f>IFERROR(__xludf.DUMMYFUNCTION("GOOGLETRANSLATE(I949,""en"",""pl"")"),"55-calowy wyświetlacz LED Samsung Direct FHD Videowall, 1920 x 1080 (16:9), ultracienka ramka (odległość od ramki do ramki 1,7 mm), 700 nitów, współczynnik kontrastu 1000:1, czas reakcji 8 ms, 2x HDMI 2.0, 1x DP 1.2, WMN-55VD, połączenie szeregowe 4K, zgo"&amp;"dność ze standardem VESA (600 x 400 mm)")</f>
        <v>55-calowy wyświetlacz LED Samsung Direct FHD Videowall, 1920 x 1080 (16:9), ultracienka ramka (odległość od ramki do ramki 1,7 mm), 700 nitów, współczynnik kontrastu 1000:1, czas reakcji 8 ms, 2x HDMI 2.0, 1x DP 1.2, WMN-55VD, połączenie szeregowe 4K, zgodność ze standardem VESA (600 x 400 mm)</v>
      </c>
      <c r="K949" s="38"/>
      <c r="L949" s="44">
        <v>7127.0</v>
      </c>
      <c r="M949" s="8"/>
      <c r="N949" s="45" t="s">
        <v>81</v>
      </c>
      <c r="O949" s="97"/>
      <c r="P949" s="11"/>
      <c r="Q949" s="9"/>
      <c r="R949" s="59"/>
      <c r="S949" s="59"/>
      <c r="T949" s="59"/>
      <c r="U949" s="9"/>
      <c r="V949" s="9"/>
      <c r="W949" s="9"/>
      <c r="X949" s="9"/>
      <c r="Y949" s="9"/>
      <c r="Z949" s="9"/>
      <c r="AA949" s="9"/>
      <c r="AB949" s="9"/>
      <c r="AC949" s="60"/>
      <c r="AD949" s="61"/>
      <c r="AE949" s="61"/>
      <c r="AF949" s="61"/>
      <c r="AG949" s="61"/>
      <c r="AH949" s="61"/>
      <c r="AI949" s="61"/>
      <c r="AJ949" s="61"/>
      <c r="AK949" s="61"/>
      <c r="AL949" s="61"/>
      <c r="AM949" s="61"/>
      <c r="AN949" s="61"/>
      <c r="AO949" s="61"/>
      <c r="AP949" s="61"/>
    </row>
    <row r="950" ht="46.5" customHeight="1">
      <c r="A950" s="1"/>
      <c r="B950" s="39" t="s">
        <v>2510</v>
      </c>
      <c r="C950" s="40" t="s">
        <v>2526</v>
      </c>
      <c r="D950" s="40" t="s">
        <v>2527</v>
      </c>
      <c r="E950" s="38"/>
      <c r="F950" s="38"/>
      <c r="G950" s="38"/>
      <c r="H950" s="127" t="s">
        <v>2528</v>
      </c>
      <c r="I950" s="48" t="s">
        <v>2529</v>
      </c>
      <c r="J950" s="42" t="str">
        <f>IFERROR(__xludf.DUMMYFUNCTION("GOOGLETRANSLATE(I950,""en"",""pl"")"),"55-calowy wyświetlacz LED Samsung Direct FHD Videowall, 1920 x 1080 (16:9), niezwykle cienka ramka (odległość między ramkami 1,7 mm), 500 nitów, współczynnik kontrastu 1000:1, czas reakcji 8 ms, 2x HDMI 2.0, 1x DP 1.2, WMN-55VD, połączenie szeregowe 4K, z"&amp;"godność ze standardem VESA (600 x 400 mm)")</f>
        <v>55-calowy wyświetlacz LED Samsung Direct FHD Videowall, 1920 x 1080 (16:9), niezwykle cienka ramka (odległość między ramkami 1,7 mm), 500 nitów, współczynnik kontrastu 1000:1, czas reakcji 8 ms, 2x HDMI 2.0, 1x DP 1.2, WMN-55VD, połączenie szeregowe 4K, zgodność ze standardem VESA (600 x 400 mm)</v>
      </c>
      <c r="K950" s="38"/>
      <c r="L950" s="44">
        <v>6800.0</v>
      </c>
      <c r="M950" s="8"/>
      <c r="N950" s="45" t="s">
        <v>81</v>
      </c>
      <c r="O950" s="97"/>
      <c r="P950" s="11"/>
      <c r="Q950" s="9"/>
      <c r="R950" s="59"/>
      <c r="S950" s="59"/>
      <c r="T950" s="59"/>
      <c r="U950" s="9"/>
      <c r="V950" s="9"/>
      <c r="W950" s="9"/>
      <c r="X950" s="9"/>
      <c r="Y950" s="9"/>
      <c r="Z950" s="9"/>
      <c r="AA950" s="9"/>
      <c r="AB950" s="9"/>
      <c r="AC950" s="60"/>
      <c r="AD950" s="61"/>
      <c r="AE950" s="61"/>
      <c r="AF950" s="61"/>
      <c r="AG950" s="61"/>
      <c r="AH950" s="61"/>
      <c r="AI950" s="61"/>
      <c r="AJ950" s="61"/>
      <c r="AK950" s="61"/>
      <c r="AL950" s="61"/>
      <c r="AM950" s="61"/>
      <c r="AN950" s="61"/>
      <c r="AO950" s="61"/>
      <c r="AP950" s="61"/>
    </row>
    <row r="951" ht="46.5" customHeight="1">
      <c r="A951" s="1"/>
      <c r="B951" s="103" t="s">
        <v>2510</v>
      </c>
      <c r="C951" s="104" t="s">
        <v>2530</v>
      </c>
      <c r="D951" s="40" t="s">
        <v>2527</v>
      </c>
      <c r="E951" s="38"/>
      <c r="F951" s="38"/>
      <c r="G951" s="38"/>
      <c r="H951" s="158" t="s">
        <v>2531</v>
      </c>
      <c r="I951" s="48" t="s">
        <v>2532</v>
      </c>
      <c r="J951" s="42" t="str">
        <f>IFERROR(__xludf.DUMMYFUNCTION("GOOGLETRANSLATE(I951,""en"",""pl"")"),"55-calowy wyświetlacz LED Samsung Direct FHD Videowall, 1920 x 1080 (16:9), niezwykle cienka ramka (odległość między ramkami 1,7 mm), 700 nitów, współczynnik kontrastu 1000:1, czas reakcji 8 ms, 2x HDMI 2.0, 1x DP 1.2, WMN-55VD, połączenie szeregowe 4K, z"&amp;"godność ze standardem VESA (600 x 400 mm)")</f>
        <v>55-calowy wyświetlacz LED Samsung Direct FHD Videowall, 1920 x 1080 (16:9), niezwykle cienka ramka (odległość między ramkami 1,7 mm), 700 nitów, współczynnik kontrastu 1000:1, czas reakcji 8 ms, 2x HDMI 2.0, 1x DP 1.2, WMN-55VD, połączenie szeregowe 4K, zgodność ze standardem VESA (600 x 400 mm)</v>
      </c>
      <c r="K951" s="38"/>
      <c r="L951" s="44">
        <v>8187.0</v>
      </c>
      <c r="M951" s="8"/>
      <c r="N951" s="45" t="s">
        <v>81</v>
      </c>
      <c r="O951" s="97"/>
      <c r="P951" s="11"/>
      <c r="Q951" s="9"/>
      <c r="R951" s="59"/>
      <c r="S951" s="59"/>
      <c r="T951" s="59"/>
      <c r="U951" s="9"/>
      <c r="V951" s="9"/>
      <c r="W951" s="9"/>
      <c r="X951" s="9"/>
      <c r="Y951" s="9"/>
      <c r="Z951" s="9"/>
      <c r="AA951" s="9"/>
      <c r="AB951" s="9"/>
      <c r="AC951" s="60"/>
      <c r="AD951" s="61"/>
      <c r="AE951" s="61"/>
      <c r="AF951" s="61"/>
      <c r="AG951" s="61"/>
      <c r="AH951" s="61"/>
      <c r="AI951" s="61"/>
      <c r="AJ951" s="61"/>
      <c r="AK951" s="61"/>
      <c r="AL951" s="61"/>
      <c r="AM951" s="61"/>
      <c r="AN951" s="61"/>
      <c r="AO951" s="61"/>
      <c r="AP951" s="61"/>
    </row>
    <row r="952" ht="30.0" customHeight="1">
      <c r="A952" s="1"/>
      <c r="B952" s="129" t="s">
        <v>2533</v>
      </c>
      <c r="C952" s="113"/>
      <c r="D952" s="113"/>
      <c r="E952" s="144"/>
      <c r="F952" s="144"/>
      <c r="G952" s="144"/>
      <c r="H952" s="94"/>
      <c r="I952" s="113"/>
      <c r="J952" s="42" t="str">
        <f>IFERROR(__xludf.DUMMYFUNCTION("GOOGLETRANSLATE(I952,""en"",""pl"")"),"#VALUE!")</f>
        <v>#VALUE!</v>
      </c>
      <c r="K952" s="144"/>
      <c r="L952" s="114"/>
      <c r="M952" s="115"/>
      <c r="N952" s="96"/>
      <c r="O952" s="146"/>
      <c r="P952" s="11"/>
      <c r="Q952" s="9"/>
      <c r="R952" s="59"/>
      <c r="S952" s="59"/>
      <c r="T952" s="59"/>
      <c r="U952" s="9"/>
      <c r="V952" s="9"/>
      <c r="W952" s="9"/>
      <c r="X952" s="9"/>
      <c r="Y952" s="9"/>
      <c r="Z952" s="9"/>
      <c r="AA952" s="9"/>
      <c r="AB952" s="9"/>
      <c r="AC952" s="60"/>
      <c r="AD952" s="61"/>
      <c r="AE952" s="61"/>
      <c r="AF952" s="61"/>
      <c r="AG952" s="61"/>
      <c r="AH952" s="61"/>
      <c r="AI952" s="61"/>
      <c r="AJ952" s="61"/>
      <c r="AK952" s="61"/>
      <c r="AL952" s="61"/>
      <c r="AM952" s="61"/>
      <c r="AN952" s="61"/>
      <c r="AO952" s="61"/>
      <c r="AP952" s="61"/>
    </row>
    <row r="953" ht="46.5" customHeight="1">
      <c r="A953" s="1"/>
      <c r="B953" s="116" t="s">
        <v>2534</v>
      </c>
      <c r="C953" s="117" t="s">
        <v>2535</v>
      </c>
      <c r="D953" s="117" t="s">
        <v>2536</v>
      </c>
      <c r="E953" s="38"/>
      <c r="F953" s="38"/>
      <c r="G953" s="38"/>
      <c r="H953" s="117" t="s">
        <v>79</v>
      </c>
      <c r="I953" s="119" t="s">
        <v>2537</v>
      </c>
      <c r="J953" s="42" t="str">
        <f>IFERROR(__xludf.DUMMYFUNCTION("GOOGLETRANSLATE(I953,""en"",""pl"")"),"Serwer 1U 4-zatokowy z funkcją Hot-swap do montażu w szafie rack z pamięcią masową 12 TB i RAID5 8 TB, 6-rdzeniowym procesorem Intel Xeon E-2236, 16 GB pamięci RAM, 2 x 1 GbE, wbudowaną kartą graficzną VGA, systemem Windows Server 2022, 2 x dysk SSD M2 25"&amp;"6 GB w RAID1, redundantnym zasilaczem 300 W, 5-letnią gwarancją z dostawą następnego dnia roboczego, zawiera 2 kable zasilające, zestaw do montażu w szafie rack oraz zestaw klawiatury/myszy")</f>
        <v>Serwer 1U 4-zatokowy z funkcją Hot-swap do montażu w szafie rack z pamięcią masową 12 TB i RAID5 8 TB, 6-rdzeniowym procesorem Intel Xeon E-2236, 16 GB pamięci RAM, 2 x 1 GbE, wbudowaną kartą graficzną VGA, systemem Windows Server 2022, 2 x dysk SSD M2 256 GB w RAID1, redundantnym zasilaczem 300 W, 5-letnią gwarancją z dostawą następnego dnia roboczego, zawiera 2 kable zasilające, zestaw do montażu w szafie rack oraz zestaw klawiatury/myszy</v>
      </c>
      <c r="K953" s="43" t="s">
        <v>21</v>
      </c>
      <c r="L953" s="44">
        <v>8125.0</v>
      </c>
      <c r="M953" s="8"/>
      <c r="N953" s="45" t="s">
        <v>81</v>
      </c>
      <c r="O953" s="97"/>
      <c r="P953" s="9"/>
      <c r="Q953" s="9"/>
      <c r="R953" s="59"/>
      <c r="S953" s="59"/>
      <c r="T953" s="59"/>
      <c r="U953" s="9"/>
      <c r="V953" s="9"/>
      <c r="W953" s="9"/>
      <c r="X953" s="9"/>
      <c r="Y953" s="9"/>
      <c r="Z953" s="9"/>
      <c r="AA953" s="9"/>
      <c r="AB953" s="9"/>
      <c r="AC953" s="101"/>
      <c r="AD953" s="75"/>
      <c r="AE953" s="75"/>
      <c r="AF953" s="75"/>
      <c r="AG953" s="75"/>
      <c r="AH953" s="75"/>
      <c r="AI953" s="75"/>
      <c r="AJ953" s="75"/>
      <c r="AK953" s="75"/>
      <c r="AL953" s="75"/>
      <c r="AM953" s="75"/>
      <c r="AN953" s="75"/>
      <c r="AO953" s="75"/>
      <c r="AP953" s="75"/>
    </row>
    <row r="954" ht="46.5" customHeight="1">
      <c r="A954" s="1"/>
      <c r="B954" s="38" t="s">
        <v>2534</v>
      </c>
      <c r="C954" s="39" t="s">
        <v>2538</v>
      </c>
      <c r="D954" s="39" t="s">
        <v>2536</v>
      </c>
      <c r="E954" s="38"/>
      <c r="F954" s="38"/>
      <c r="G954" s="38"/>
      <c r="H954" s="39" t="s">
        <v>79</v>
      </c>
      <c r="I954" s="42" t="s">
        <v>2539</v>
      </c>
      <c r="J954" s="42" t="str">
        <f>IFERROR(__xludf.DUMMYFUNCTION("GOOGLETRANSLATE(I954,""en"",""pl"")"),"Serwer 1U 4-zatokowy z funkcją Hot-swap do montażu w szafie rack z pamięcią masową 24 TB i RAID5 16 TB, 6-rdzeniowym procesorem Intel Xeon E-2236, 16 GB pamięci RAM, 2 x 1 GbE, wbudowaną kartą graficzną VGA, systemem Windows Server 2022, 2 x dysk SSD M2 2"&amp;"56 GB w RAID1, redundantnym zasilaczem 300 W, 5-letnią gwarancją z dostawą następnego dnia roboczego, zawiera 2 kable zasilające, zestaw do montażu w szafie rack oraz zestaw klawiatury/myszy")</f>
        <v>Serwer 1U 4-zatokowy z funkcją Hot-swap do montażu w szafie rack z pamięcią masową 24 TB i RAID5 16 TB, 6-rdzeniowym procesorem Intel Xeon E-2236, 16 GB pamięci RAM, 2 x 1 GbE, wbudowaną kartą graficzną VGA, systemem Windows Server 2022, 2 x dysk SSD M2 256 GB w RAID1, redundantnym zasilaczem 300 W, 5-letnią gwarancją z dostawą następnego dnia roboczego, zawiera 2 kable zasilające, zestaw do montażu w szafie rack oraz zestaw klawiatury/myszy</v>
      </c>
      <c r="K954" s="43" t="s">
        <v>21</v>
      </c>
      <c r="L954" s="44">
        <v>9345.0</v>
      </c>
      <c r="M954" s="8"/>
      <c r="N954" s="45" t="s">
        <v>81</v>
      </c>
      <c r="O954" s="97"/>
      <c r="P954" s="9"/>
      <c r="Q954" s="9"/>
      <c r="R954" s="59"/>
      <c r="S954" s="59"/>
      <c r="T954" s="59"/>
      <c r="U954" s="9"/>
      <c r="V954" s="9"/>
      <c r="W954" s="9"/>
      <c r="X954" s="9"/>
      <c r="Y954" s="9"/>
      <c r="Z954" s="9"/>
      <c r="AA954" s="9"/>
      <c r="AB954" s="9"/>
      <c r="AC954" s="101"/>
      <c r="AD954" s="75"/>
      <c r="AE954" s="75"/>
      <c r="AF954" s="75"/>
      <c r="AG954" s="75"/>
      <c r="AH954" s="75"/>
      <c r="AI954" s="75"/>
      <c r="AJ954" s="75"/>
      <c r="AK954" s="75"/>
      <c r="AL954" s="75"/>
      <c r="AM954" s="75"/>
      <c r="AN954" s="75"/>
      <c r="AO954" s="75"/>
      <c r="AP954" s="75"/>
    </row>
    <row r="955" ht="46.5" customHeight="1">
      <c r="A955" s="1"/>
      <c r="B955" s="38" t="s">
        <v>2534</v>
      </c>
      <c r="C955" s="39" t="s">
        <v>2540</v>
      </c>
      <c r="D955" s="39" t="s">
        <v>2536</v>
      </c>
      <c r="E955" s="38"/>
      <c r="F955" s="38"/>
      <c r="G955" s="38"/>
      <c r="H955" s="39" t="s">
        <v>79</v>
      </c>
      <c r="I955" s="42" t="s">
        <v>2541</v>
      </c>
      <c r="J955" s="42" t="str">
        <f>IFERROR(__xludf.DUMMYFUNCTION("GOOGLETRANSLATE(I955,""en"",""pl"")"),"Serwer 1U 4-zatokowy z funkcją Hot-swap do montażu w szafie rack z pamięcią masową 32 TB i RAID5 24 TB, 6-rdzeniowym procesorem Intel Xeon E-2236, 16 GB pamięci RAM, 2 x 1 GbE, wbudowaną kartą graficzną VGA, systemem Windows Server 2022, 2 x dysk SSD M2 2"&amp;"56 GB w RAID1, redundantnym zasilaczem 300 W, 5-letnią gwarancją z dostawą następnego dnia roboczego, zawiera 2 kable zasilające, zestaw do montażu w szafie rack oraz zestaw klawiatury/myszy")</f>
        <v>Serwer 1U 4-zatokowy z funkcją Hot-swap do montażu w szafie rack z pamięcią masową 32 TB i RAID5 24 TB, 6-rdzeniowym procesorem Intel Xeon E-2236, 16 GB pamięci RAM, 2 x 1 GbE, wbudowaną kartą graficzną VGA, systemem Windows Server 2022, 2 x dysk SSD M2 256 GB w RAID1, redundantnym zasilaczem 300 W, 5-letnią gwarancją z dostawą następnego dnia roboczego, zawiera 2 kable zasilające, zestaw do montażu w szafie rack oraz zestaw klawiatury/myszy</v>
      </c>
      <c r="K955" s="43" t="s">
        <v>21</v>
      </c>
      <c r="L955" s="44">
        <v>11190.0</v>
      </c>
      <c r="M955" s="8"/>
      <c r="N955" s="45" t="s">
        <v>81</v>
      </c>
      <c r="O955" s="97"/>
      <c r="P955" s="9"/>
      <c r="Q955" s="9"/>
      <c r="R955" s="59"/>
      <c r="S955" s="59"/>
      <c r="T955" s="59"/>
      <c r="U955" s="9"/>
      <c r="V955" s="9"/>
      <c r="W955" s="9"/>
      <c r="X955" s="9"/>
      <c r="Y955" s="9"/>
      <c r="Z955" s="9"/>
      <c r="AA955" s="9"/>
      <c r="AB955" s="9"/>
      <c r="AC955" s="101"/>
      <c r="AD955" s="75"/>
      <c r="AE955" s="75"/>
      <c r="AF955" s="75"/>
      <c r="AG955" s="75"/>
      <c r="AH955" s="75"/>
      <c r="AI955" s="75"/>
      <c r="AJ955" s="75"/>
      <c r="AK955" s="75"/>
      <c r="AL955" s="75"/>
      <c r="AM955" s="75"/>
      <c r="AN955" s="75"/>
      <c r="AO955" s="75"/>
      <c r="AP955" s="75"/>
    </row>
    <row r="956" ht="46.5" customHeight="1">
      <c r="A956" s="1"/>
      <c r="B956" s="38" t="s">
        <v>2534</v>
      </c>
      <c r="C956" s="39" t="s">
        <v>2542</v>
      </c>
      <c r="D956" s="39" t="s">
        <v>2536</v>
      </c>
      <c r="E956" s="38"/>
      <c r="F956" s="38"/>
      <c r="G956" s="38"/>
      <c r="H956" s="39" t="s">
        <v>79</v>
      </c>
      <c r="I956" s="42" t="s">
        <v>2543</v>
      </c>
      <c r="J956" s="42" t="str">
        <f>IFERROR(__xludf.DUMMYFUNCTION("GOOGLETRANSLATE(I956,""en"",""pl"")"),"Serwer 1U 4-zatokowy z funkcją Hot-swap do montażu w szafie rack z pamięcią masową 40 ​​TB i RAID5 30 TB, procesor Intel Xeon E-2236 6 rdzeni, 16 GB pamięci RAM, 2 x 1 GbE, wbudowana karta graficzna, system Windows Server 2022, 2 x dysk SSD M2 256 GB w RA"&amp;"ID1, redundantny zasilacz 300 W, 5-letnia gwarancja na dostawę następnego dnia roboczego, w zestawie 2 kable zasilające, zestaw do montażu w szafie rack oraz zestaw klawiatury/myszy")</f>
        <v>Serwer 1U 4-zatokowy z funkcją Hot-swap do montażu w szafie rack z pamięcią masową 40 ​​TB i RAID5 30 TB, procesor Intel Xeon E-2236 6 rdzeni, 16 GB pamięci RAM, 2 x 1 GbE, wbudowana karta graficzna, system Windows Server 2022, 2 x dysk SSD M2 256 GB w RAID1, redundantny zasilacz 300 W, 5-letnia gwarancja na dostawę następnego dnia roboczego, w zestawie 2 kable zasilające, zestaw do montażu w szafie rack oraz zestaw klawiatury/myszy</v>
      </c>
      <c r="K956" s="43" t="s">
        <v>21</v>
      </c>
      <c r="L956" s="44">
        <v>12765.0</v>
      </c>
      <c r="M956" s="8"/>
      <c r="N956" s="45" t="s">
        <v>81</v>
      </c>
      <c r="O956" s="97"/>
      <c r="P956" s="9"/>
      <c r="Q956" s="9"/>
      <c r="R956" s="59"/>
      <c r="S956" s="59"/>
      <c r="T956" s="59"/>
      <c r="U956" s="9"/>
      <c r="V956" s="9"/>
      <c r="W956" s="9"/>
      <c r="X956" s="9"/>
      <c r="Y956" s="9"/>
      <c r="Z956" s="9"/>
      <c r="AA956" s="9"/>
      <c r="AB956" s="9"/>
      <c r="AC956" s="101"/>
      <c r="AD956" s="75"/>
      <c r="AE956" s="75"/>
      <c r="AF956" s="75"/>
      <c r="AG956" s="75"/>
      <c r="AH956" s="75"/>
      <c r="AI956" s="75"/>
      <c r="AJ956" s="75"/>
      <c r="AK956" s="75"/>
      <c r="AL956" s="75"/>
      <c r="AM956" s="75"/>
      <c r="AN956" s="75"/>
      <c r="AO956" s="75"/>
      <c r="AP956" s="75"/>
    </row>
    <row r="957" ht="46.5" customHeight="1">
      <c r="A957" s="1"/>
      <c r="B957" s="38" t="s">
        <v>2534</v>
      </c>
      <c r="C957" s="39" t="s">
        <v>2544</v>
      </c>
      <c r="D957" s="39" t="s">
        <v>2536</v>
      </c>
      <c r="E957" s="38"/>
      <c r="F957" s="38"/>
      <c r="G957" s="38"/>
      <c r="H957" s="39" t="s">
        <v>79</v>
      </c>
      <c r="I957" s="42" t="s">
        <v>2545</v>
      </c>
      <c r="J957" s="42" t="str">
        <f>IFERROR(__xludf.DUMMYFUNCTION("GOOGLETRANSLATE(I957,""en"",""pl"")"),"Serwer 1U 4-zatokowy z funkcją Hot-swap do montażu w szafie rack z pamięcią masową 48 TB i RAID5 36 TB, procesorem Intel Xeon E-2236 6 rdzeni, 16 GB pamięci RAM, 2 x 1 GbE, wbudowaną kartą graficzną VGA, systemem Windows Server 2022, 2 x dysk SSD M2 256 G"&amp;"B w RAID1, redundantnym zasilaczem 300 W, 5-letnią gwarancją z dostawą następnego dnia roboczego, zawiera 2 kable zasilające, zestaw do montażu w szafie rack oraz zestaw klawiatury/myszy")</f>
        <v>Serwer 1U 4-zatokowy z funkcją Hot-swap do montażu w szafie rack z pamięcią masową 48 TB i RAID5 36 TB, procesorem Intel Xeon E-2236 6 rdzeni, 16 GB pamięci RAM, 2 x 1 GbE, wbudowaną kartą graficzną VGA, systemem Windows Server 2022, 2 x dysk SSD M2 256 GB w RAID1, redundantnym zasilaczem 300 W, 5-letnią gwarancją z dostawą następnego dnia roboczego, zawiera 2 kable zasilające, zestaw do montażu w szafie rack oraz zestaw klawiatury/myszy</v>
      </c>
      <c r="K957" s="43" t="s">
        <v>21</v>
      </c>
      <c r="L957" s="44">
        <v>13839.0</v>
      </c>
      <c r="M957" s="8"/>
      <c r="N957" s="45" t="s">
        <v>81</v>
      </c>
      <c r="O957" s="97"/>
      <c r="P957" s="9"/>
      <c r="Q957" s="9"/>
      <c r="R957" s="59"/>
      <c r="S957" s="59"/>
      <c r="T957" s="59"/>
      <c r="U957" s="9"/>
      <c r="V957" s="9"/>
      <c r="W957" s="9"/>
      <c r="X957" s="9"/>
      <c r="Y957" s="9"/>
      <c r="Z957" s="9"/>
      <c r="AA957" s="9"/>
      <c r="AB957" s="9"/>
      <c r="AC957" s="101"/>
      <c r="AD957" s="75"/>
      <c r="AE957" s="75"/>
      <c r="AF957" s="75"/>
      <c r="AG957" s="75"/>
      <c r="AH957" s="75"/>
      <c r="AI957" s="75"/>
      <c r="AJ957" s="75"/>
      <c r="AK957" s="75"/>
      <c r="AL957" s="75"/>
      <c r="AM957" s="75"/>
      <c r="AN957" s="75"/>
      <c r="AO957" s="75"/>
      <c r="AP957" s="75"/>
    </row>
    <row r="958" ht="46.5" customHeight="1">
      <c r="A958" s="1"/>
      <c r="B958" s="38" t="s">
        <v>2534</v>
      </c>
      <c r="C958" s="39" t="s">
        <v>2546</v>
      </c>
      <c r="D958" s="39" t="s">
        <v>2536</v>
      </c>
      <c r="E958" s="38"/>
      <c r="F958" s="38"/>
      <c r="G958" s="38"/>
      <c r="H958" s="39" t="s">
        <v>79</v>
      </c>
      <c r="I958" s="42" t="s">
        <v>2547</v>
      </c>
      <c r="J958" s="42" t="str">
        <f>IFERROR(__xludf.DUMMYFUNCTION("GOOGLETRANSLATE(I958,""en"",""pl"")"),"Serwer 1U 4-zatokowy z funkcją Hot-swap do montażu w szafie rack z pamięcią masową 56 TB i RAID5 42 TB, 6-rdzeniowym procesorem Intel Xeon E-2236, 16 GB pamięci RAM, 2 x 1 GbE, wbudowaną kartą graficzną VGA, systemem Windows Server 2022, 2 x dysk SSD M2 2"&amp;"56 GB w RAID1, redundantnym zasilaczem 300 W, 5-letnią gwarancją z dostawą następnego dnia roboczego, zawiera 2 kable zasilające, zestaw do montażu w szafie rack oraz zestaw klawiatury/myszy")</f>
        <v>Serwer 1U 4-zatokowy z funkcją Hot-swap do montażu w szafie rack z pamięcią masową 56 TB i RAID5 42 TB, 6-rdzeniowym procesorem Intel Xeon E-2236, 16 GB pamięci RAM, 2 x 1 GbE, wbudowaną kartą graficzną VGA, systemem Windows Server 2022, 2 x dysk SSD M2 256 GB w RAID1, redundantnym zasilaczem 300 W, 5-letnią gwarancją z dostawą następnego dnia roboczego, zawiera 2 kable zasilające, zestaw do montażu w szafie rack oraz zestaw klawiatury/myszy</v>
      </c>
      <c r="K958" s="43" t="s">
        <v>21</v>
      </c>
      <c r="L958" s="44">
        <v>14034.0</v>
      </c>
      <c r="M958" s="8"/>
      <c r="N958" s="45" t="s">
        <v>81</v>
      </c>
      <c r="O958" s="97"/>
      <c r="P958" s="9"/>
      <c r="Q958" s="9"/>
      <c r="R958" s="59"/>
      <c r="S958" s="59"/>
      <c r="T958" s="59"/>
      <c r="U958" s="9"/>
      <c r="V958" s="9"/>
      <c r="W958" s="9"/>
      <c r="X958" s="9"/>
      <c r="Y958" s="9"/>
      <c r="Z958" s="9"/>
      <c r="AA958" s="9"/>
      <c r="AB958" s="9"/>
      <c r="AC958" s="101"/>
      <c r="AD958" s="75"/>
      <c r="AE958" s="75"/>
      <c r="AF958" s="75"/>
      <c r="AG958" s="75"/>
      <c r="AH958" s="75"/>
      <c r="AI958" s="75"/>
      <c r="AJ958" s="75"/>
      <c r="AK958" s="75"/>
      <c r="AL958" s="75"/>
      <c r="AM958" s="75"/>
      <c r="AN958" s="75"/>
      <c r="AO958" s="75"/>
      <c r="AP958" s="75"/>
    </row>
    <row r="959" ht="46.5" customHeight="1">
      <c r="A959" s="1"/>
      <c r="B959" s="38" t="s">
        <v>2548</v>
      </c>
      <c r="C959" s="39" t="s">
        <v>2549</v>
      </c>
      <c r="D959" s="40" t="s">
        <v>2550</v>
      </c>
      <c r="E959" s="38"/>
      <c r="F959" s="38"/>
      <c r="G959" s="38"/>
      <c r="H959" s="39" t="s">
        <v>170</v>
      </c>
      <c r="I959" s="42" t="s">
        <v>2551</v>
      </c>
      <c r="J959" s="42" t="str">
        <f>IFERROR(__xludf.DUMMYFUNCTION("GOOGLETRANSLATE(I959,""en"",""pl"")"),"Konfiguracja RAID6 dotyczy serwerów typu Hot-swap 1U z 4 zatokami (1U-4BAY-SERVER). Zmiana domyślnej konfiguracji RAID5 na RAID6 wpłynie na użyteczną pamięć masową.")</f>
        <v>Konfiguracja RAID6 dotyczy serwerów typu Hot-swap 1U z 4 zatokami (1U-4BAY-SERVER). Zmiana domyślnej konfiguracji RAID5 na RAID6 wpłynie na użyteczną pamięć masową.</v>
      </c>
      <c r="K959" s="108"/>
      <c r="L959" s="122" t="s">
        <v>2147</v>
      </c>
      <c r="M959" s="8"/>
      <c r="N959" s="45" t="s">
        <v>81</v>
      </c>
      <c r="O959" s="97"/>
      <c r="P959" s="11"/>
      <c r="Q959" s="9"/>
      <c r="R959" s="59"/>
      <c r="S959" s="59"/>
      <c r="T959" s="59"/>
      <c r="U959" s="9"/>
      <c r="V959" s="9"/>
      <c r="W959" s="9"/>
      <c r="X959" s="9"/>
      <c r="Y959" s="9"/>
      <c r="Z959" s="9"/>
      <c r="AA959" s="9"/>
      <c r="AB959" s="9"/>
      <c r="AC959" s="60"/>
      <c r="AD959" s="61"/>
      <c r="AE959" s="61"/>
      <c r="AF959" s="61"/>
      <c r="AG959" s="61"/>
      <c r="AH959" s="61"/>
      <c r="AI959" s="61"/>
      <c r="AJ959" s="61"/>
      <c r="AK959" s="61"/>
      <c r="AL959" s="61"/>
      <c r="AM959" s="61"/>
      <c r="AN959" s="61"/>
      <c r="AO959" s="61"/>
      <c r="AP959" s="61"/>
    </row>
    <row r="960" ht="46.5" customHeight="1">
      <c r="A960" s="1"/>
      <c r="B960" s="38" t="s">
        <v>2534</v>
      </c>
      <c r="C960" s="39" t="s">
        <v>2552</v>
      </c>
      <c r="D960" s="39" t="s">
        <v>2553</v>
      </c>
      <c r="E960" s="38"/>
      <c r="F960" s="38"/>
      <c r="G960" s="38"/>
      <c r="H960" s="39" t="s">
        <v>79</v>
      </c>
      <c r="I960" s="48" t="s">
        <v>2554</v>
      </c>
      <c r="J960" s="42" t="str">
        <f>IFERROR(__xludf.DUMMYFUNCTION("GOOGLETRANSLATE(I960,""en"",""pl"")"),"Serwer 2U 12-zatokowy z funkcją hot-swap do montażu w szafie typu rack z pamięcią masową 64 TB i RAID5 48 TB, procesorem Intel Xeon E-2236 6-rdzeniowym, 16 GB pamięci RAM, 2 x 1 GbE, wbudowaną kartą graficzną VGA, systemem Windows Server 2022, 2 x dyskiem"&amp;" SSD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64 TB i RAID5 48 TB, procesorem Intel Xeon E-2236 6-rdzeniowym,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0" s="43" t="s">
        <v>21</v>
      </c>
      <c r="L960" s="44">
        <v>15311.0</v>
      </c>
      <c r="M960" s="8"/>
      <c r="N960" s="45" t="s">
        <v>81</v>
      </c>
      <c r="O960" s="97"/>
      <c r="P960" s="9"/>
      <c r="Q960" s="9"/>
      <c r="R960" s="59"/>
      <c r="S960" s="59"/>
      <c r="T960" s="59"/>
      <c r="U960" s="9"/>
      <c r="V960" s="9"/>
      <c r="W960" s="9"/>
      <c r="X960" s="9"/>
      <c r="Y960" s="9"/>
      <c r="Z960" s="9"/>
      <c r="AA960" s="9"/>
      <c r="AB960" s="9"/>
      <c r="AC960" s="101"/>
      <c r="AD960" s="75"/>
      <c r="AE960" s="75"/>
      <c r="AF960" s="75"/>
      <c r="AG960" s="75"/>
      <c r="AH960" s="75"/>
      <c r="AI960" s="75"/>
      <c r="AJ960" s="75"/>
      <c r="AK960" s="75"/>
      <c r="AL960" s="75"/>
      <c r="AM960" s="75"/>
      <c r="AN960" s="75"/>
      <c r="AO960" s="75"/>
      <c r="AP960" s="75"/>
    </row>
    <row r="961" ht="46.5" customHeight="1">
      <c r="A961" s="1"/>
      <c r="B961" s="38" t="s">
        <v>2534</v>
      </c>
      <c r="C961" s="39" t="s">
        <v>2555</v>
      </c>
      <c r="D961" s="39" t="s">
        <v>2553</v>
      </c>
      <c r="E961" s="38"/>
      <c r="F961" s="38"/>
      <c r="G961" s="38"/>
      <c r="H961" s="39" t="s">
        <v>79</v>
      </c>
      <c r="I961" s="48" t="s">
        <v>2556</v>
      </c>
      <c r="J961" s="42" t="str">
        <f>IFERROR(__xludf.DUMMYFUNCTION("GOOGLETRANSLATE(I961,""en"",""pl"")"),"Serwer 2U 12-zatokowy z funkcją wymiany na gorąco, montowany w szafie rack, z pamięcią masową o pojemności 72 TB i RAID5 56 TB, 6-rdzeniowym procesorem Intel Xeon E-2236, 16 GB pamięci RAM, 2 x 1 GbE, wbudowaną kartą graficzną VGA, systemem Windows Server"&amp;" 2022, 2 x dysk SSD 240 GB w RAID1, redundantnym zasilaczem 800 W, 5-letnią gwarancją z dostawą następnego dnia roboczego, zawiera 2 kable zasilające, zestaw do montażu w szafie rack oraz zestaw klawiatury/myszy")</f>
        <v>Serwer 2U 12-zatokowy z funkcją wymiany na gorąco, montowany w szafie rack, z pamięcią masową o pojemności 72 TB i RAID5 56 TB, 6-rdzeniowym procesorem Intel Xeon E-2236, 16 GB pamięci RAM, 2 x 1 GbE, wbudowaną kartą graficzną VGA, systemem Windows Server 2022, 2 x dysk SSD 240 GB w RAID1, redundantnym zasilaczem 800 W, 5-letnią gwarancją z dostawą następnego dnia roboczego, zawiera 2 kable zasilające, zestaw do montażu w szafie rack oraz zestaw klawiatury/myszy</v>
      </c>
      <c r="K961" s="43" t="s">
        <v>21</v>
      </c>
      <c r="L961" s="44">
        <v>16115.0</v>
      </c>
      <c r="M961" s="8"/>
      <c r="N961" s="45" t="s">
        <v>81</v>
      </c>
      <c r="O961" s="97"/>
      <c r="P961" s="9"/>
      <c r="Q961" s="9"/>
      <c r="R961" s="59"/>
      <c r="S961" s="59"/>
      <c r="T961" s="59"/>
      <c r="U961" s="9"/>
      <c r="V961" s="9"/>
      <c r="W961" s="9"/>
      <c r="X961" s="9"/>
      <c r="Y961" s="9"/>
      <c r="Z961" s="9"/>
      <c r="AA961" s="9"/>
      <c r="AB961" s="9"/>
      <c r="AC961" s="101"/>
      <c r="AD961" s="75"/>
      <c r="AE961" s="75"/>
      <c r="AF961" s="75"/>
      <c r="AG961" s="75"/>
      <c r="AH961" s="75"/>
      <c r="AI961" s="75"/>
      <c r="AJ961" s="75"/>
      <c r="AK961" s="75"/>
      <c r="AL961" s="75"/>
      <c r="AM961" s="75"/>
      <c r="AN961" s="75"/>
      <c r="AO961" s="75"/>
      <c r="AP961" s="75"/>
    </row>
    <row r="962" ht="46.5" customHeight="1">
      <c r="A962" s="1"/>
      <c r="B962" s="38" t="s">
        <v>2534</v>
      </c>
      <c r="C962" s="39" t="s">
        <v>2557</v>
      </c>
      <c r="D962" s="39" t="s">
        <v>2553</v>
      </c>
      <c r="E962" s="38"/>
      <c r="F962" s="38"/>
      <c r="G962" s="38"/>
      <c r="H962" s="39" t="s">
        <v>79</v>
      </c>
      <c r="I962" s="42" t="s">
        <v>2558</v>
      </c>
      <c r="J962" s="42" t="str">
        <f>IFERROR(__xludf.DUMMYFUNCTION("GOOGLETRANSLATE(I962,""en"",""pl"")"),"Serwer 2U 12-zatokowy z funkcją wymiany na gorąco, montowany w szafie rack, z pamięcią masową 80 TB i RAID5 64 TB, procesorem Intel Xeon E-2236 6-rdzeniowym, 16 GB pamięci RAM, 2 x 1 GbE, wbudowaną kartą graficzną VGA, systemem Windows Server 2022, 2 x dy"&amp;"skiem SSD 240 GB w RAID1, redundantnym zasilaczem 800 W, 5-letnią gwarancją z dostawą następnego dnia roboczego, zawiera 2 kable zasilające, zestaw do montażu w szafie rack oraz zestaw klawiatury/myszy")</f>
        <v>Serwer 2U 12-zatokowy z funkcją wymiany na gorąco, montowany w szafie rack, z pamięcią masową 80 TB i RAID5 64 TB, procesorem Intel Xeon E-2236 6-rdzeniowym,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2" s="43" t="s">
        <v>21</v>
      </c>
      <c r="L962" s="44">
        <v>16920.0</v>
      </c>
      <c r="M962" s="8"/>
      <c r="N962" s="45" t="s">
        <v>81</v>
      </c>
      <c r="O962" s="97"/>
      <c r="P962" s="9"/>
      <c r="Q962" s="9"/>
      <c r="R962" s="59"/>
      <c r="S962" s="59"/>
      <c r="T962" s="59"/>
      <c r="U962" s="9"/>
      <c r="V962" s="9"/>
      <c r="W962" s="9"/>
      <c r="X962" s="9"/>
      <c r="Y962" s="9"/>
      <c r="Z962" s="9"/>
      <c r="AA962" s="9"/>
      <c r="AB962" s="9"/>
      <c r="AC962" s="101"/>
      <c r="AD962" s="75"/>
      <c r="AE962" s="75"/>
      <c r="AF962" s="75"/>
      <c r="AG962" s="75"/>
      <c r="AH962" s="75"/>
      <c r="AI962" s="75"/>
      <c r="AJ962" s="75"/>
      <c r="AK962" s="75"/>
      <c r="AL962" s="75"/>
      <c r="AM962" s="75"/>
      <c r="AN962" s="75"/>
      <c r="AO962" s="75"/>
      <c r="AP962" s="75"/>
    </row>
    <row r="963" ht="46.5" customHeight="1">
      <c r="A963" s="1"/>
      <c r="B963" s="38" t="s">
        <v>2534</v>
      </c>
      <c r="C963" s="39" t="s">
        <v>2559</v>
      </c>
      <c r="D963" s="39" t="s">
        <v>2553</v>
      </c>
      <c r="E963" s="38"/>
      <c r="F963" s="38"/>
      <c r="G963" s="38"/>
      <c r="H963" s="39" t="s">
        <v>79</v>
      </c>
      <c r="I963" s="42" t="s">
        <v>2560</v>
      </c>
      <c r="J963" s="42" t="str">
        <f>IFERROR(__xludf.DUMMYFUNCTION("GOOGLETRANSLATE(I963,""en"",""pl"")"),"Serwer 2U 12-zatokowy z funkcją hot-swap do montażu w szafie typu rack z pamięcią masową 88 TB i RAID5 72 TB, 6-rdzeniowym procesorem Intel Xeon E-2236, 16 GB pamięci RAM, 2 x 1 GbE, wbudowaną kartą graficzną VGA, systemem Windows Server 2022, 2 x dyskiem"&amp;" SSD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88 TB i RAID5 72 TB, 6-rdzeniowym procesorem Intel Xeon E-2236,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3" s="43" t="s">
        <v>21</v>
      </c>
      <c r="L963" s="44">
        <v>20101.0</v>
      </c>
      <c r="M963" s="8"/>
      <c r="N963" s="45" t="s">
        <v>81</v>
      </c>
      <c r="O963" s="97"/>
      <c r="P963" s="9"/>
      <c r="Q963" s="9"/>
      <c r="R963" s="59"/>
      <c r="S963" s="59"/>
      <c r="T963" s="59"/>
      <c r="U963" s="9"/>
      <c r="V963" s="9"/>
      <c r="W963" s="9"/>
      <c r="X963" s="9"/>
      <c r="Y963" s="9"/>
      <c r="Z963" s="9"/>
      <c r="AA963" s="9"/>
      <c r="AB963" s="9"/>
      <c r="AC963" s="101"/>
      <c r="AD963" s="75"/>
      <c r="AE963" s="75"/>
      <c r="AF963" s="75"/>
      <c r="AG963" s="75"/>
      <c r="AH963" s="75"/>
      <c r="AI963" s="75"/>
      <c r="AJ963" s="75"/>
      <c r="AK963" s="75"/>
      <c r="AL963" s="75"/>
      <c r="AM963" s="75"/>
      <c r="AN963" s="75"/>
      <c r="AO963" s="75"/>
      <c r="AP963" s="75"/>
    </row>
    <row r="964" ht="46.5" customHeight="1">
      <c r="A964" s="1"/>
      <c r="B964" s="38" t="s">
        <v>2534</v>
      </c>
      <c r="C964" s="39" t="s">
        <v>2561</v>
      </c>
      <c r="D964" s="39" t="s">
        <v>2553</v>
      </c>
      <c r="E964" s="38"/>
      <c r="F964" s="38"/>
      <c r="G964" s="38"/>
      <c r="H964" s="39" t="s">
        <v>79</v>
      </c>
      <c r="I964" s="42" t="s">
        <v>2562</v>
      </c>
      <c r="J964" s="42" t="str">
        <f>IFERROR(__xludf.DUMMYFUNCTION("GOOGLETRANSLATE(I964,""en"",""pl"")"),"Serwer 2U 12-zatokowy z funkcją hot-swap do montażu w szafie typu rack z pamięcią masową 96 TB i RAID5 80 TB, 6-rdzeniowym procesorem Intel Xeon E-2236, 16 GB pamięci RAM, 2 x 1 GbE, wbudowaną kartą graficzną VGA, systemem Windows Server 2022, 2 x dyskiem"&amp;" SSD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96 TB i RAID5 80 TB, 6-rdzeniowym procesorem Intel Xeon E-2236,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4" s="43" t="s">
        <v>21</v>
      </c>
      <c r="L964" s="44">
        <v>21958.0</v>
      </c>
      <c r="M964" s="8"/>
      <c r="N964" s="45" t="s">
        <v>81</v>
      </c>
      <c r="O964" s="97"/>
      <c r="P964" s="9"/>
      <c r="Q964" s="9"/>
      <c r="R964" s="59"/>
      <c r="S964" s="59"/>
      <c r="T964" s="59"/>
      <c r="U964" s="9"/>
      <c r="V964" s="9"/>
      <c r="W964" s="9"/>
      <c r="X964" s="9"/>
      <c r="Y964" s="9"/>
      <c r="Z964" s="9"/>
      <c r="AA964" s="9"/>
      <c r="AB964" s="9"/>
      <c r="AC964" s="101"/>
      <c r="AD964" s="75"/>
      <c r="AE964" s="75"/>
      <c r="AF964" s="75"/>
      <c r="AG964" s="75"/>
      <c r="AH964" s="75"/>
      <c r="AI964" s="75"/>
      <c r="AJ964" s="75"/>
      <c r="AK964" s="75"/>
      <c r="AL964" s="75"/>
      <c r="AM964" s="75"/>
      <c r="AN964" s="75"/>
      <c r="AO964" s="75"/>
      <c r="AP964" s="75"/>
    </row>
    <row r="965" ht="46.5" customHeight="1">
      <c r="A965" s="1"/>
      <c r="B965" s="38" t="s">
        <v>2534</v>
      </c>
      <c r="C965" s="39" t="s">
        <v>2563</v>
      </c>
      <c r="D965" s="39" t="s">
        <v>2553</v>
      </c>
      <c r="E965" s="38"/>
      <c r="F965" s="38"/>
      <c r="G965" s="38"/>
      <c r="H965" s="39" t="s">
        <v>79</v>
      </c>
      <c r="I965" s="42" t="s">
        <v>2564</v>
      </c>
      <c r="J965" s="42" t="str">
        <f>IFERROR(__xludf.DUMMYFUNCTION("GOOGLETRANSLATE(I965,""en"",""pl"")"),"Serwer 2U 12-zatokowy z funkcją Hot-swap do montażu w szafie typu rack z pamięcią masową 110 TB i RAID5 90 TB, procesorem Intel Xeon E-2236 6 rdzeni, 16 GB pamięci RAM, 2 x 1 GbE, wbudowaną kartą graficzną VGA, systemem Windows Server 2022, 2 x dyskiem SS"&amp;"D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110 TB i RAID5 90 TB, procesorem Intel Xeon E-2236 6 rdzeni,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5" s="43" t="s">
        <v>21</v>
      </c>
      <c r="L965" s="44">
        <v>25192.0</v>
      </c>
      <c r="M965" s="8"/>
      <c r="N965" s="45" t="s">
        <v>81</v>
      </c>
      <c r="O965" s="97"/>
      <c r="P965" s="9"/>
      <c r="Q965" s="9"/>
      <c r="R965" s="59"/>
      <c r="S965" s="59"/>
      <c r="T965" s="59"/>
      <c r="U965" s="9"/>
      <c r="V965" s="9"/>
      <c r="W965" s="9"/>
      <c r="X965" s="9"/>
      <c r="Y965" s="9"/>
      <c r="Z965" s="9"/>
      <c r="AA965" s="9"/>
      <c r="AB965" s="9"/>
      <c r="AC965" s="101"/>
      <c r="AD965" s="75"/>
      <c r="AE965" s="75"/>
      <c r="AF965" s="75"/>
      <c r="AG965" s="75"/>
      <c r="AH965" s="75"/>
      <c r="AI965" s="75"/>
      <c r="AJ965" s="75"/>
      <c r="AK965" s="75"/>
      <c r="AL965" s="75"/>
      <c r="AM965" s="75"/>
      <c r="AN965" s="75"/>
      <c r="AO965" s="75"/>
      <c r="AP965" s="75"/>
    </row>
    <row r="966" ht="46.5" customHeight="1">
      <c r="A966" s="1"/>
      <c r="B966" s="38" t="s">
        <v>2534</v>
      </c>
      <c r="C966" s="39" t="s">
        <v>2565</v>
      </c>
      <c r="D966" s="39" t="s">
        <v>2553</v>
      </c>
      <c r="E966" s="38"/>
      <c r="F966" s="38"/>
      <c r="G966" s="38"/>
      <c r="H966" s="39" t="s">
        <v>79</v>
      </c>
      <c r="I966" s="42" t="s">
        <v>2566</v>
      </c>
      <c r="J966" s="42" t="str">
        <f>IFERROR(__xludf.DUMMYFUNCTION("GOOGLETRANSLATE(I966,""en"",""pl"")"),"Serwer 2U 12-zatokowy z funkcją hot-swap do montażu w szafie typu rack z pamięcią masową 120 TB i RAID5 100 TB, procesorem Intel Xeon E-2236 6 rdzeni, 16 GB pamięci RAM, 2 x 1 GbE, wbudowaną kartą graficzną VGA, systemem Windows Server 2022, 2 x dyskiem S"&amp;"SD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120 TB i RAID5 100 TB, procesorem Intel Xeon E-2236 6 rdzeni,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6" s="43" t="s">
        <v>21</v>
      </c>
      <c r="L966" s="44">
        <v>27566.0</v>
      </c>
      <c r="M966" s="8"/>
      <c r="N966" s="45" t="s">
        <v>81</v>
      </c>
      <c r="O966" s="97"/>
      <c r="P966" s="9"/>
      <c r="Q966" s="9"/>
      <c r="R966" s="59"/>
      <c r="S966" s="59"/>
      <c r="T966" s="59"/>
      <c r="U966" s="9"/>
      <c r="V966" s="9"/>
      <c r="W966" s="9"/>
      <c r="X966" s="9"/>
      <c r="Y966" s="9"/>
      <c r="Z966" s="9"/>
      <c r="AA966" s="9"/>
      <c r="AB966" s="9"/>
      <c r="AC966" s="101"/>
      <c r="AD966" s="75"/>
      <c r="AE966" s="75"/>
      <c r="AF966" s="75"/>
      <c r="AG966" s="75"/>
      <c r="AH966" s="75"/>
      <c r="AI966" s="75"/>
      <c r="AJ966" s="75"/>
      <c r="AK966" s="75"/>
      <c r="AL966" s="75"/>
      <c r="AM966" s="75"/>
      <c r="AN966" s="75"/>
      <c r="AO966" s="75"/>
      <c r="AP966" s="75"/>
    </row>
    <row r="967" ht="46.5" customHeight="1">
      <c r="A967" s="1"/>
      <c r="B967" s="38" t="s">
        <v>2534</v>
      </c>
      <c r="C967" s="39" t="s">
        <v>2567</v>
      </c>
      <c r="D967" s="39" t="s">
        <v>2553</v>
      </c>
      <c r="E967" s="38"/>
      <c r="F967" s="38"/>
      <c r="G967" s="38"/>
      <c r="H967" s="39" t="s">
        <v>79</v>
      </c>
      <c r="I967" s="42" t="s">
        <v>2568</v>
      </c>
      <c r="J967" s="42" t="str">
        <f>IFERROR(__xludf.DUMMYFUNCTION("GOOGLETRANSLATE(I967,""en"",""pl"")"),"Serwer 2U 12-zatokowy z funkcją wymiany na gorąco, montowany w szafie rack, z pamięcią masową o pojemności 144 TB i RAID5 120 TB, procesorem Intel Xeon E-2236 6 rdzeni, 16 GB pamięci RAM, 2 x 1 GbE, wbudowaną kartą graficzną VGA, systemem Windows Server 2"&amp;"022, 2 x dyskiem SSD 240 GB w RAID1, redundantnym zasilaczem 800 W, 5-letnią gwarancją z dostawą następnego dnia roboczego, zawiera 2 kable zasilające, zestaw do montażu w szafie rack oraz zestaw klawiatury/myszy")</f>
        <v>Serwer 2U 12-zatokowy z funkcją wymiany na gorąco, montowany w szafie rack, z pamięcią masową o pojemności 144 TB i RAID5 120 TB, procesorem Intel Xeon E-2236 6 rdzeni, 16 GB pamięci RAM, 2 x 1 GbE, wbudowaną kartą graficzną VGA, systemem Windows Server 2022, 2 x dyskiem SSD 240 GB w RAID1, redundantnym zasilaczem 800 W, 5-letnią gwarancją z dostawą następnego dnia roboczego, zawiera 2 kable zasilające, zestaw do montażu w szafie rack oraz zestaw klawiatury/myszy</v>
      </c>
      <c r="K967" s="43" t="s">
        <v>21</v>
      </c>
      <c r="L967" s="44">
        <v>30929.0</v>
      </c>
      <c r="M967" s="8"/>
      <c r="N967" s="45" t="s">
        <v>81</v>
      </c>
      <c r="O967" s="97"/>
      <c r="P967" s="9"/>
      <c r="Q967" s="9"/>
      <c r="R967" s="59"/>
      <c r="S967" s="59"/>
      <c r="T967" s="59"/>
      <c r="U967" s="9"/>
      <c r="V967" s="9"/>
      <c r="W967" s="9"/>
      <c r="X967" s="9"/>
      <c r="Y967" s="9"/>
      <c r="Z967" s="9"/>
      <c r="AA967" s="9"/>
      <c r="AB967" s="9"/>
      <c r="AC967" s="101"/>
      <c r="AD967" s="75"/>
      <c r="AE967" s="75"/>
      <c r="AF967" s="75"/>
      <c r="AG967" s="75"/>
      <c r="AH967" s="75"/>
      <c r="AI967" s="75"/>
      <c r="AJ967" s="75"/>
      <c r="AK967" s="75"/>
      <c r="AL967" s="75"/>
      <c r="AM967" s="75"/>
      <c r="AN967" s="75"/>
      <c r="AO967" s="75"/>
      <c r="AP967" s="75"/>
    </row>
    <row r="968" ht="46.5" customHeight="1">
      <c r="A968" s="1"/>
      <c r="B968" s="38" t="s">
        <v>2534</v>
      </c>
      <c r="C968" s="39" t="s">
        <v>2569</v>
      </c>
      <c r="D968" s="39" t="s">
        <v>2553</v>
      </c>
      <c r="E968" s="38"/>
      <c r="F968" s="38"/>
      <c r="G968" s="38"/>
      <c r="H968" s="39" t="s">
        <v>79</v>
      </c>
      <c r="I968" s="42" t="s">
        <v>2570</v>
      </c>
      <c r="J968" s="42" t="str">
        <f>IFERROR(__xludf.DUMMYFUNCTION("GOOGLETRANSLATE(I968,""en"",""pl"")"),"Serwer 2U 12-zatokowy z funkcją hot-swap do montażu w szafie typu rack z pamięcią masową 168 TB i RAID5 140 TB, 6-rdzeniowym procesorem Intel Xeon E-2236, 16 GB pamięci RAM, 2 x 1 GbE, wbudowaną kartą graficzną VGA, systemem Windows Server 2022, 2 x dysk "&amp;"SSD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168 TB i RAID5 140 TB, 6-rdzeniowym procesorem Intel Xeon E-2236, 16 GB pamięci RAM, 2 x 1 GbE, wbudowaną kartą graficzną VGA, systemem Windows Server 2022, 2 x dysk SSD 240 GB w RAID1, redundantnym zasilaczem 800 W, 5-letnią gwarancją z dostawą następnego dnia roboczego, zawiera 2 kable zasilające, zestaw do montażu w szafie rack oraz zestaw klawiatury/myszy</v>
      </c>
      <c r="K968" s="43" t="s">
        <v>21</v>
      </c>
      <c r="L968" s="44">
        <v>34907.0</v>
      </c>
      <c r="M968" s="8"/>
      <c r="N968" s="45" t="s">
        <v>81</v>
      </c>
      <c r="O968" s="97"/>
      <c r="P968" s="9"/>
      <c r="Q968" s="9"/>
      <c r="R968" s="59"/>
      <c r="S968" s="59"/>
      <c r="T968" s="59"/>
      <c r="U968" s="9"/>
      <c r="V968" s="9"/>
      <c r="W968" s="9"/>
      <c r="X968" s="9"/>
      <c r="Y968" s="9"/>
      <c r="Z968" s="9"/>
      <c r="AA968" s="9"/>
      <c r="AB968" s="9"/>
      <c r="AC968" s="101"/>
      <c r="AD968" s="75"/>
      <c r="AE968" s="75"/>
      <c r="AF968" s="75"/>
      <c r="AG968" s="75"/>
      <c r="AH968" s="75"/>
      <c r="AI968" s="75"/>
      <c r="AJ968" s="75"/>
      <c r="AK968" s="75"/>
      <c r="AL968" s="75"/>
      <c r="AM968" s="75"/>
      <c r="AN968" s="75"/>
      <c r="AO968" s="75"/>
      <c r="AP968" s="75"/>
    </row>
    <row r="969" ht="46.5" customHeight="1">
      <c r="A969" s="1"/>
      <c r="B969" s="38" t="s">
        <v>2534</v>
      </c>
      <c r="C969" s="39" t="s">
        <v>2571</v>
      </c>
      <c r="D969" s="39" t="s">
        <v>2553</v>
      </c>
      <c r="E969" s="38"/>
      <c r="F969" s="38"/>
      <c r="G969" s="38"/>
      <c r="H969" s="39" t="s">
        <v>79</v>
      </c>
      <c r="I969" s="42" t="s">
        <v>2572</v>
      </c>
      <c r="J969" s="42" t="str">
        <f>IFERROR(__xludf.DUMMYFUNCTION("GOOGLETRANSLATE(I969,""en"",""pl"")"),"Serwer 2U 12-zatokowy z funkcją hot-swap do montażu w szafie typu rack z pamięcią masową 192 TB i RAID5 160 TB, 6-rdzeniowym procesorem Intel Xeon E-2236, 16 GB pamięci RAM, 2 x 1 GbE, wbudowaną kartą graficzną VGA, systemem Windows Server 2022, 2 x dysk "&amp;"SSD 240 GB w RAID1, redundantnym zasilaczem 800 W, 5-letnią gwarancją z dostawą następnego dnia roboczego, zawiera 2 kable zasilające, zestaw do montażu w szafie rack oraz zestaw klawiatury/myszy")</f>
        <v>Serwer 2U 12-zatokowy z funkcją hot-swap do montażu w szafie typu rack z pamięcią masową 192 TB i RAID5 160 TB, 6-rdzeniowym procesorem Intel Xeon E-2236, 16 GB pamięci RAM, 2 x 1 GbE, wbudowaną kartą graficzną VGA, systemem Windows Server 2022, 2 x dysk SSD 240 GB w RAID1, redundantnym zasilaczem 800 W, 5-letnią gwarancją z dostawą następnego dnia roboczego, zawiera 2 kable zasilające, zestaw do montażu w szafie rack oraz zestaw klawiatury/myszy</v>
      </c>
      <c r="K969" s="43" t="s">
        <v>21</v>
      </c>
      <c r="L969" s="44">
        <v>37247.0</v>
      </c>
      <c r="M969" s="8"/>
      <c r="N969" s="45" t="s">
        <v>81</v>
      </c>
      <c r="O969" s="97"/>
      <c r="P969" s="9"/>
      <c r="Q969" s="9"/>
      <c r="R969" s="59"/>
      <c r="S969" s="59"/>
      <c r="T969" s="59"/>
      <c r="U969" s="9"/>
      <c r="V969" s="9"/>
      <c r="W969" s="9"/>
      <c r="X969" s="9"/>
      <c r="Y969" s="9"/>
      <c r="Z969" s="9"/>
      <c r="AA969" s="9"/>
      <c r="AB969" s="9"/>
      <c r="AC969" s="101"/>
      <c r="AD969" s="75"/>
      <c r="AE969" s="75"/>
      <c r="AF969" s="75"/>
      <c r="AG969" s="75"/>
      <c r="AH969" s="75"/>
      <c r="AI969" s="75"/>
      <c r="AJ969" s="75"/>
      <c r="AK969" s="75"/>
      <c r="AL969" s="75"/>
      <c r="AM969" s="75"/>
      <c r="AN969" s="75"/>
      <c r="AO969" s="75"/>
      <c r="AP969" s="75"/>
    </row>
    <row r="970" ht="46.5" customHeight="1">
      <c r="A970" s="1"/>
      <c r="B970" s="38" t="s">
        <v>2548</v>
      </c>
      <c r="C970" s="39" t="s">
        <v>2573</v>
      </c>
      <c r="D970" s="39" t="s">
        <v>2550</v>
      </c>
      <c r="E970" s="38"/>
      <c r="F970" s="38"/>
      <c r="G970" s="38"/>
      <c r="H970" s="39" t="s">
        <v>170</v>
      </c>
      <c r="I970" s="48" t="s">
        <v>2574</v>
      </c>
      <c r="J970" s="42" t="str">
        <f>IFERROR(__xludf.DUMMYFUNCTION("GOOGLETRANSLATE(I970,""en"",""pl"")"),"Konfiguracja RAID6 dotyczy serwerów typu Hot-swap 2U 12-bajtowych (2U-12BAY-SERVER). Zmiana domyślnej konfiguracji RAID5 na RAID6 wpłynie na użyteczną pamięć masową.")</f>
        <v>Konfiguracja RAID6 dotyczy serwerów typu Hot-swap 2U 12-bajtowych (2U-12BAY-SERVER). Zmiana domyślnej konfiguracji RAID5 na RAID6 wpłynie na użyteczną pamięć masową.</v>
      </c>
      <c r="K970" s="38"/>
      <c r="L970" s="122" t="s">
        <v>2147</v>
      </c>
      <c r="M970" s="8"/>
      <c r="N970" s="45" t="s">
        <v>81</v>
      </c>
      <c r="O970" s="97"/>
      <c r="P970" s="11"/>
      <c r="Q970" s="9"/>
      <c r="R970" s="59"/>
      <c r="S970" s="59"/>
      <c r="T970" s="59"/>
      <c r="U970" s="9"/>
      <c r="V970" s="9"/>
      <c r="W970" s="9"/>
      <c r="X970" s="9"/>
      <c r="Y970" s="9"/>
      <c r="Z970" s="9"/>
      <c r="AA970" s="9"/>
      <c r="AB970" s="9"/>
      <c r="AC970" s="60"/>
      <c r="AD970" s="61"/>
      <c r="AE970" s="61"/>
      <c r="AF970" s="61"/>
      <c r="AG970" s="61"/>
      <c r="AH970" s="61"/>
      <c r="AI970" s="61"/>
      <c r="AJ970" s="61"/>
      <c r="AK970" s="61"/>
      <c r="AL970" s="61"/>
      <c r="AM970" s="61"/>
      <c r="AN970" s="61"/>
      <c r="AO970" s="61"/>
      <c r="AP970" s="61"/>
    </row>
    <row r="971" ht="46.5" customHeight="1">
      <c r="A971" s="1"/>
      <c r="B971" s="38" t="s">
        <v>2575</v>
      </c>
      <c r="C971" s="39" t="s">
        <v>2576</v>
      </c>
      <c r="D971" s="39" t="s">
        <v>2577</v>
      </c>
      <c r="E971" s="38"/>
      <c r="F971" s="38"/>
      <c r="G971" s="38"/>
      <c r="H971" s="39" t="s">
        <v>170</v>
      </c>
      <c r="I971" s="48" t="s">
        <v>2578</v>
      </c>
      <c r="J971" s="42" t="str">
        <f>IFERROR(__xludf.DUMMYFUNCTION("GOOGLETRANSLATE(I971,""en"",""pl"")"),"Karta sieciowa Intel 10GbE z 2 portami — RJ45, miedziana (tylko serwery 2U)")</f>
        <v>Karta sieciowa Intel 10GbE z 2 portami — RJ45, miedziana (tylko serwery 2U)</v>
      </c>
      <c r="K971" s="38"/>
      <c r="L971" s="44">
        <v>1038.0</v>
      </c>
      <c r="M971" s="8"/>
      <c r="N971" s="45" t="s">
        <v>81</v>
      </c>
      <c r="O971" s="97"/>
      <c r="P971" s="11"/>
      <c r="Q971" s="9"/>
      <c r="R971" s="59"/>
      <c r="S971" s="59"/>
      <c r="T971" s="59"/>
      <c r="U971" s="9"/>
      <c r="V971" s="9"/>
      <c r="W971" s="9"/>
      <c r="X971" s="9"/>
      <c r="Y971" s="9"/>
      <c r="Z971" s="9"/>
      <c r="AA971" s="9"/>
      <c r="AB971" s="9"/>
      <c r="AC971" s="60"/>
      <c r="AD971" s="61"/>
      <c r="AE971" s="61"/>
      <c r="AF971" s="61"/>
      <c r="AG971" s="61"/>
      <c r="AH971" s="61"/>
      <c r="AI971" s="61"/>
      <c r="AJ971" s="61"/>
      <c r="AK971" s="61"/>
      <c r="AL971" s="61"/>
      <c r="AM971" s="61"/>
      <c r="AN971" s="61"/>
      <c r="AO971" s="61"/>
      <c r="AP971" s="61"/>
    </row>
    <row r="972" ht="46.5" customHeight="1">
      <c r="A972" s="1"/>
      <c r="B972" s="40" t="s">
        <v>2579</v>
      </c>
      <c r="C972" s="39" t="s">
        <v>2580</v>
      </c>
      <c r="D972" s="39" t="s">
        <v>2581</v>
      </c>
      <c r="E972" s="38"/>
      <c r="F972" s="38"/>
      <c r="G972" s="38"/>
      <c r="H972" s="39" t="s">
        <v>79</v>
      </c>
      <c r="I972" s="42" t="s">
        <v>2582</v>
      </c>
      <c r="J972" s="42" t="str">
        <f>IFERROR(__xludf.DUMMYFUNCTION("GOOGLETRANSLATE(I972,""en"",""pl"")"),"Klient Mini Qube 4 Bay z wbudowaną kartą graficzną Intel 730, procesorem Intel Core i5 12. generacji 10 rdzeni, pamięcią RAM 16 GB, 2 portami 1 GbE, 1 portem DP (z adapterem HDMI), 1 portem HDMI, systemem Windows 11 PRO, dyskiem SSD 250 GB, zasilaczem 250"&amp;" W, 5-letnią gwarancją z dostawą do domu, w zestawie 1 kabel zasilający i zestaw klawiatury/myszy")</f>
        <v>Klient Mini Qube 4 Bay z wbudowaną kartą graficzną Intel 730, procesorem Intel Core i5 12. generacji 10 rdzeni, pamięcią RAM 16 GB, 2 portami 1 GbE, 1 portem DP (z adapterem HDMI), 1 portem HDMI, systemem Windows 11 PRO, dyskiem SSD 250 GB, zasilaczem 250 W, 5-letnią gwarancją z dostawą do domu, w zestawie 1 kabel zasilający i zestaw klawiatury/myszy</v>
      </c>
      <c r="K972" s="43"/>
      <c r="L972" s="44">
        <v>4381.0</v>
      </c>
      <c r="M972" s="8"/>
      <c r="N972" s="45" t="s">
        <v>81</v>
      </c>
      <c r="O972" s="97"/>
      <c r="P972" s="11"/>
      <c r="Q972" s="9"/>
      <c r="R972" s="59"/>
      <c r="S972" s="59"/>
      <c r="T972" s="59"/>
      <c r="U972" s="9"/>
      <c r="V972" s="9"/>
      <c r="W972" s="9"/>
      <c r="X972" s="9"/>
      <c r="Y972" s="9"/>
      <c r="Z972" s="9"/>
      <c r="AA972" s="9"/>
      <c r="AB972" s="9"/>
      <c r="AC972" s="60"/>
      <c r="AD972" s="61"/>
      <c r="AE972" s="61"/>
      <c r="AF972" s="61"/>
      <c r="AG972" s="61"/>
      <c r="AH972" s="61"/>
      <c r="AI972" s="61"/>
      <c r="AJ972" s="61"/>
      <c r="AK972" s="61"/>
      <c r="AL972" s="61"/>
      <c r="AM972" s="61"/>
      <c r="AN972" s="61"/>
      <c r="AO972" s="61"/>
      <c r="AP972" s="61"/>
    </row>
    <row r="973" ht="46.5" customHeight="1">
      <c r="A973" s="1"/>
      <c r="B973" s="40" t="s">
        <v>2579</v>
      </c>
      <c r="C973" s="39" t="s">
        <v>2583</v>
      </c>
      <c r="D973" s="39" t="s">
        <v>2584</v>
      </c>
      <c r="E973" s="38"/>
      <c r="F973" s="38"/>
      <c r="G973" s="38"/>
      <c r="H973" s="39" t="s">
        <v>79</v>
      </c>
      <c r="I973" s="42" t="s">
        <v>2585</v>
      </c>
      <c r="J973" s="42" t="str">
        <f>IFERROR(__xludf.DUMMYFUNCTION("GOOGLETRANSLATE(I973,""en"",""pl"")"),"Klient Mini Qube 4 Bay z wbudowaną kartą graficzną Intel 770, procesorem Intel Core 12. generacji i7 10 rdzeni, pamięcią RAM 16 GB, 2 portami 1 GbE, 1 portem DP (z adapterem HDMI), 1 portem HDMI, systemem Windows 11 PRO, dyskiem SSD 250 GB, zasilaczem 250"&amp;" W, 5-letnią gwarancją z dostawą do domu, zawiera 1 kabel zasilający i zestaw klawiatury/myszy")</f>
        <v>Klient Mini Qube 4 Bay z wbudowaną kartą graficzną Intel 770, procesorem Intel Core 12. generacji i7 10 rdzeni, pamięcią RAM 16 GB, 2 portami 1 GbE, 1 portem DP (z adapterem HDMI), 1 portem HDMI, systemem Windows 11 PRO, dyskiem SSD 250 GB, zasilaczem 250 W, 5-letnią gwarancją z dostawą do domu, zawiera 1 kabel zasilający i zestaw klawiatury/myszy</v>
      </c>
      <c r="K973" s="43"/>
      <c r="L973" s="44">
        <v>5307.0</v>
      </c>
      <c r="M973" s="8"/>
      <c r="N973" s="45" t="s">
        <v>81</v>
      </c>
      <c r="O973" s="97"/>
      <c r="P973" s="11"/>
      <c r="Q973" s="9"/>
      <c r="R973" s="59"/>
      <c r="S973" s="59"/>
      <c r="T973" s="59"/>
      <c r="U973" s="9"/>
      <c r="V973" s="9"/>
      <c r="W973" s="9"/>
      <c r="X973" s="9"/>
      <c r="Y973" s="9"/>
      <c r="Z973" s="9"/>
      <c r="AA973" s="9"/>
      <c r="AB973" s="9"/>
      <c r="AC973" s="60"/>
      <c r="AD973" s="61"/>
      <c r="AE973" s="61"/>
      <c r="AF973" s="61"/>
      <c r="AG973" s="61"/>
      <c r="AH973" s="61"/>
      <c r="AI973" s="61"/>
      <c r="AJ973" s="61"/>
      <c r="AK973" s="61"/>
      <c r="AL973" s="61"/>
      <c r="AM973" s="61"/>
      <c r="AN973" s="61"/>
      <c r="AO973" s="61"/>
      <c r="AP973" s="61"/>
    </row>
    <row r="974" ht="46.5" customHeight="1">
      <c r="A974" s="1"/>
      <c r="B974" s="40" t="s">
        <v>2579</v>
      </c>
      <c r="C974" s="39" t="s">
        <v>2586</v>
      </c>
      <c r="D974" s="39" t="s">
        <v>2587</v>
      </c>
      <c r="E974" s="38"/>
      <c r="F974" s="38"/>
      <c r="G974" s="38"/>
      <c r="H974" s="39" t="s">
        <v>79</v>
      </c>
      <c r="I974" s="42" t="s">
        <v>2588</v>
      </c>
      <c r="J974" s="42" t="str">
        <f>IFERROR(__xludf.DUMMYFUNCTION("GOOGLETRANSLATE(I974,""en"",""pl"")"),"Klient JBOD HDD Mini Qube 4 Bay 4TB z wbudowaną kartą graficzną Intel 730, procesorem Intel Core 12. generacji i7 10 rdzeni, 16 GB pamięci RAM, 2 x 1 GbE, 1 x DP (z adapterem HDMI), 1 x HDMI, systemem Windows 11 PRO, dyskiem SSD 250 GB, zasilaczem 250 W, "&amp;"5-letnią gwarancją z dostawą do domu, w zestawie 1 x kabel zasilający i zestaw klawiatury/myszy")</f>
        <v>Klient JBOD HDD Mini Qube 4 Bay 4TB z wbudowaną kartą graficzną Intel 730, procesorem Intel Core 12. generacji i7 10 rdzeni, 16 GB pamięci RAM, 2 x 1 GbE, 1 x DP (z adapterem HDMI), 1 x HDMI, systemem Windows 11 PRO, dyskiem SSD 250 GB, zasilaczem 250 W, 5-letnią gwarancją z dostawą do domu, w zestawie 1 x kabel zasilający i zestaw klawiatury/myszy</v>
      </c>
      <c r="K974" s="43"/>
      <c r="L974" s="44">
        <v>5432.0</v>
      </c>
      <c r="M974" s="8"/>
      <c r="N974" s="45" t="s">
        <v>81</v>
      </c>
      <c r="O974" s="97"/>
      <c r="P974" s="11"/>
      <c r="Q974" s="9"/>
      <c r="R974" s="59"/>
      <c r="S974" s="59"/>
      <c r="T974" s="59"/>
      <c r="U974" s="9"/>
      <c r="V974" s="9"/>
      <c r="W974" s="9"/>
      <c r="X974" s="9"/>
      <c r="Y974" s="9"/>
      <c r="Z974" s="9"/>
      <c r="AA974" s="9"/>
      <c r="AB974" s="9"/>
      <c r="AC974" s="60"/>
      <c r="AD974" s="61"/>
      <c r="AE974" s="61"/>
      <c r="AF974" s="61"/>
      <c r="AG974" s="61"/>
      <c r="AH974" s="61"/>
      <c r="AI974" s="61"/>
      <c r="AJ974" s="61"/>
      <c r="AK974" s="61"/>
      <c r="AL974" s="61"/>
      <c r="AM974" s="61"/>
      <c r="AN974" s="61"/>
      <c r="AO974" s="61"/>
      <c r="AP974" s="61"/>
    </row>
    <row r="975" ht="46.5" customHeight="1">
      <c r="A975" s="1"/>
      <c r="B975" s="40" t="s">
        <v>2579</v>
      </c>
      <c r="C975" s="39" t="s">
        <v>2589</v>
      </c>
      <c r="D975" s="39" t="s">
        <v>2590</v>
      </c>
      <c r="E975" s="38"/>
      <c r="F975" s="38"/>
      <c r="G975" s="38"/>
      <c r="H975" s="39" t="s">
        <v>79</v>
      </c>
      <c r="I975" s="42" t="s">
        <v>2591</v>
      </c>
      <c r="J975" s="42" t="str">
        <f>IFERROR(__xludf.DUMMYFUNCTION("GOOGLETRANSLATE(I975,""en"",""pl"")"),"Klient JBOD HDD Mini Qube 4 Bay 8TB z wbudowaną kartą graficzną Intel 730, procesorem Intel Core 12. generacji i7 10 rdzeni, pamięcią RAM 16 GB, 2 portami 1 GbE, 1 portem DP (z adapterem HDMI), 1 portem HDMI, systemem Windows 11 PRO, dyskiem SSD 250 GB, z"&amp;"asilaczem 250 W, 5-letnią gwarancją z dostawą do domu, w zestawie 1 kabel zasilający i zestaw klawiatury/myszy")</f>
        <v>Klient JBOD HDD Mini Qube 4 Bay 8TB z wbudowaną kartą graficzną Intel 730, procesorem Intel Core 12. generacji i7 10 rdzeni, pamięcią RAM 16 GB, 2 portami 1 GbE, 1 portem DP (z adapterem HDMI), 1 portem HDMI, systemem Windows 11 PRO, dyskiem SSD 250 GB, zasilaczem 250 W, 5-letnią gwarancją z dostawą do domu, w zestawie 1 kabel zasilający i zestaw klawiatury/myszy</v>
      </c>
      <c r="K975" s="43"/>
      <c r="L975" s="44">
        <v>5721.0</v>
      </c>
      <c r="M975" s="8"/>
      <c r="N975" s="45" t="s">
        <v>81</v>
      </c>
      <c r="O975" s="97"/>
      <c r="P975" s="11"/>
      <c r="Q975" s="9"/>
      <c r="R975" s="59"/>
      <c r="S975" s="59"/>
      <c r="T975" s="59"/>
      <c r="U975" s="9"/>
      <c r="V975" s="9"/>
      <c r="W975" s="9"/>
      <c r="X975" s="9"/>
      <c r="Y975" s="9"/>
      <c r="Z975" s="9"/>
      <c r="AA975" s="9"/>
      <c r="AB975" s="9"/>
      <c r="AC975" s="60"/>
      <c r="AD975" s="61"/>
      <c r="AE975" s="61"/>
      <c r="AF975" s="61"/>
      <c r="AG975" s="61"/>
      <c r="AH975" s="61"/>
      <c r="AI975" s="61"/>
      <c r="AJ975" s="61"/>
      <c r="AK975" s="61"/>
      <c r="AL975" s="61"/>
      <c r="AM975" s="61"/>
      <c r="AN975" s="61"/>
      <c r="AO975" s="61"/>
      <c r="AP975" s="61"/>
    </row>
    <row r="976" ht="46.5" customHeight="1">
      <c r="A976" s="1"/>
      <c r="B976" s="40" t="s">
        <v>2579</v>
      </c>
      <c r="C976" s="39" t="s">
        <v>2592</v>
      </c>
      <c r="D976" s="39" t="s">
        <v>2593</v>
      </c>
      <c r="E976" s="38"/>
      <c r="F976" s="38"/>
      <c r="G976" s="38"/>
      <c r="H976" s="39" t="s">
        <v>79</v>
      </c>
      <c r="I976" s="42" t="s">
        <v>2594</v>
      </c>
      <c r="J976" s="42" t="str">
        <f>IFERROR(__xludf.DUMMYFUNCTION("GOOGLETRANSLATE(I976,""en"",""pl"")"),"Klient JBOD HDD Mini Qube 4 Bay 16TB z wbudowaną kartą graficzną Intel 730, procesorem Intel Core 12. generacji i7 10 rdzeni, 16 GB pamięci RAM, 2 x 1 GbE, 1 x DP (z adapterem HDMI), 1 x HDMI, systemem Windows 11 PRO, dyskiem SSD 250 GB, zasilaczem 250 W,"&amp;" 5-letnią gwarancją z dostawą do domu, w zestawie 1 x kabel zasilający i zestaw klawiatury/myszy")</f>
        <v>Klient JBOD HDD Mini Qube 4 Bay 16TB z wbudowaną kartą graficzną Intel 730, procesorem Intel Core 12. generacji i7 10 rdzeni, 16 GB pamięci RAM, 2 x 1 GbE, 1 x DP (z adapterem HDMI), 1 x HDMI, systemem Windows 11 PRO, dyskiem SSD 250 GB, zasilaczem 250 W, 5-letnią gwarancją z dostawą do domu, w zestawie 1 x kabel zasilający i zestaw klawiatury/myszy</v>
      </c>
      <c r="K976" s="43"/>
      <c r="L976" s="44">
        <v>6443.0</v>
      </c>
      <c r="M976" s="8"/>
      <c r="N976" s="45" t="s">
        <v>81</v>
      </c>
      <c r="O976" s="97"/>
      <c r="P976" s="11"/>
      <c r="Q976" s="9"/>
      <c r="R976" s="59"/>
      <c r="S976" s="59"/>
      <c r="T976" s="59"/>
      <c r="U976" s="9"/>
      <c r="V976" s="9"/>
      <c r="W976" s="9"/>
      <c r="X976" s="9"/>
      <c r="Y976" s="9"/>
      <c r="Z976" s="9"/>
      <c r="AA976" s="9"/>
      <c r="AB976" s="9"/>
      <c r="AC976" s="60"/>
      <c r="AD976" s="61"/>
      <c r="AE976" s="61"/>
      <c r="AF976" s="61"/>
      <c r="AG976" s="61"/>
      <c r="AH976" s="61"/>
      <c r="AI976" s="61"/>
      <c r="AJ976" s="61"/>
      <c r="AK976" s="61"/>
      <c r="AL976" s="61"/>
      <c r="AM976" s="61"/>
      <c r="AN976" s="61"/>
      <c r="AO976" s="61"/>
      <c r="AP976" s="61"/>
    </row>
    <row r="977" ht="46.5" customHeight="1">
      <c r="A977" s="1"/>
      <c r="B977" s="40" t="s">
        <v>2579</v>
      </c>
      <c r="C977" s="39" t="s">
        <v>2595</v>
      </c>
      <c r="D977" s="39" t="s">
        <v>2596</v>
      </c>
      <c r="E977" s="38"/>
      <c r="F977" s="38"/>
      <c r="G977" s="38"/>
      <c r="H977" s="39" t="s">
        <v>79</v>
      </c>
      <c r="I977" s="42" t="s">
        <v>2597</v>
      </c>
      <c r="J977" s="42" t="str">
        <f>IFERROR(__xludf.DUMMYFUNCTION("GOOGLETRANSLATE(I977,""en"",""pl"")"),"Klient JBOD HDD Mini Qube 4 Bay o pojemności 24 TB z wbudowaną kartą graficzną Intel 730, procesorem Intel Core 12. generacji i7 10 rdzeni, pamięcią RAM 16 GB, 2 portami 1 GbE, 1 portem DP (z adapterem HDMI), 1 portem HDMI, systemem Windows 11 PRO, dyskie"&amp;"m SSD 250 GB, zasilaczem 250 W, 5-letnią gwarancją z dostawą do domu, w zestawie 1 kabel zasilający i zestaw klawiatury/myszy")</f>
        <v>Klient JBOD HDD Mini Qube 4 Bay o pojemności 24 TB z wbudowaną kartą graficzną Intel 730, procesorem Intel Core 12. generacji i7 10 rdzeni, pamięcią RAM 16 GB, 2 portami 1 GbE, 1 portem DP (z adapterem HDMI), 1 portem HDMI, systemem Windows 11 PRO, dyskiem SSD 250 GB, zasilaczem 250 W, 5-letnią gwarancją z dostawą do domu, w zestawie 1 kabel zasilający i zestaw klawiatury/myszy</v>
      </c>
      <c r="K977" s="43"/>
      <c r="L977" s="44">
        <v>7165.0</v>
      </c>
      <c r="M977" s="8"/>
      <c r="N977" s="45" t="s">
        <v>81</v>
      </c>
      <c r="O977" s="97"/>
      <c r="P977" s="11"/>
      <c r="Q977" s="9"/>
      <c r="R977" s="59"/>
      <c r="S977" s="59"/>
      <c r="T977" s="59"/>
      <c r="U977" s="9"/>
      <c r="V977" s="9"/>
      <c r="W977" s="9"/>
      <c r="X977" s="9"/>
      <c r="Y977" s="9"/>
      <c r="Z977" s="9"/>
      <c r="AA977" s="9"/>
      <c r="AB977" s="9"/>
      <c r="AC977" s="60"/>
      <c r="AD977" s="61"/>
      <c r="AE977" s="61"/>
      <c r="AF977" s="61"/>
      <c r="AG977" s="61"/>
      <c r="AH977" s="61"/>
      <c r="AI977" s="61"/>
      <c r="AJ977" s="61"/>
      <c r="AK977" s="61"/>
      <c r="AL977" s="61"/>
      <c r="AM977" s="61"/>
      <c r="AN977" s="61"/>
      <c r="AO977" s="61"/>
      <c r="AP977" s="61"/>
    </row>
    <row r="978" ht="46.5" customHeight="1">
      <c r="A978" s="1"/>
      <c r="B978" s="40" t="s">
        <v>2579</v>
      </c>
      <c r="C978" s="39" t="s">
        <v>2598</v>
      </c>
      <c r="D978" s="39" t="s">
        <v>2599</v>
      </c>
      <c r="E978" s="38"/>
      <c r="F978" s="38"/>
      <c r="G978" s="38"/>
      <c r="H978" s="39" t="s">
        <v>79</v>
      </c>
      <c r="I978" s="42" t="s">
        <v>2600</v>
      </c>
      <c r="J978" s="42" t="str">
        <f>IFERROR(__xludf.DUMMYFUNCTION("GOOGLETRANSLATE(I978,""en"",""pl"")"),"Wydajny klient Qube z ulepszoną kartą graficzną, obudowa Mini Qube
Zasilacz – wysoka sprawność 265 W, procesor Intel i9-14900 14. generacji, pamięć RAM – 32 GB DDR5, karta sieciowa – 2 x 1 GbE, dysk twardy – dysk SSD M2 NVMe o pojemności 256 GB, karta gra"&amp;"ficzna – nVidia A1000 – 8 GB, wyjścia wideo – 4 x miniDisplayPort, system operacyjny – Windows 11 Pro, akcesoria – klawiatura i mysz")</f>
        <v>Wydajny klient Qube z ulepszoną kartą graficzną, obudowa Mini Qube
Zasilacz – wysoka sprawność 265 W, procesor Intel i9-14900 14. generacji, pamięć RAM – 32 GB DDR5, karta sieciowa – 2 x 1 GbE, dysk twardy – dysk SSD M2 NVMe o pojemności 256 GB, karta graficzna – nVidia A1000 – 8 GB, wyjścia wideo – 4 x miniDisplayPort, system operacyjny – Windows 11 Pro, akcesoria – klawiatura i mysz</v>
      </c>
      <c r="K978" s="43"/>
      <c r="L978" s="44">
        <v>7954.0</v>
      </c>
      <c r="M978" s="8"/>
      <c r="N978" s="45" t="s">
        <v>81</v>
      </c>
      <c r="O978" s="97"/>
      <c r="P978" s="11"/>
      <c r="Q978" s="9"/>
      <c r="R978" s="59"/>
      <c r="S978" s="59"/>
      <c r="T978" s="59"/>
      <c r="U978" s="9"/>
      <c r="V978" s="9"/>
      <c r="W978" s="9"/>
      <c r="X978" s="9"/>
      <c r="Y978" s="9"/>
      <c r="Z978" s="9"/>
      <c r="AA978" s="9"/>
      <c r="AB978" s="9"/>
      <c r="AC978" s="60"/>
      <c r="AD978" s="61"/>
      <c r="AE978" s="61"/>
      <c r="AF978" s="61"/>
      <c r="AG978" s="61"/>
      <c r="AH978" s="61"/>
      <c r="AI978" s="61"/>
      <c r="AJ978" s="61"/>
      <c r="AK978" s="61"/>
      <c r="AL978" s="61"/>
      <c r="AM978" s="61"/>
      <c r="AN978" s="61"/>
      <c r="AO978" s="61"/>
      <c r="AP978" s="61"/>
    </row>
    <row r="979" ht="46.5" customHeight="1">
      <c r="A979" s="1"/>
      <c r="B979" s="40" t="s">
        <v>2579</v>
      </c>
      <c r="C979" s="39" t="s">
        <v>2601</v>
      </c>
      <c r="D979" s="39" t="s">
        <v>2602</v>
      </c>
      <c r="E979" s="38"/>
      <c r="F979" s="38"/>
      <c r="G979" s="38"/>
      <c r="H979" s="39" t="s">
        <v>79</v>
      </c>
      <c r="I979" s="42" t="s">
        <v>2603</v>
      </c>
      <c r="J979" s="42" t="str">
        <f>IFERROR(__xludf.DUMMYFUNCTION("GOOGLETRANSLATE(I979,""en"",""pl"")"),"Klient Mini Qube 4 Bay z kartą graficzną Intel T1000, procesorem Intel Core 12. generacji i5 10 rdzeni, 16 GB pamięci RAM, 2 x 1 Gbe, 4 x mini Display Port (z adapterami pełnowymiarowego Display Port), systemem Windows 11 PRO, dyskiem SSD 250 GB, zasilacz"&amp;"em 250 W, 5-letnią gwarancją z dostawą następnego dnia roboczego, w zestawie 1 kabel zasilający i zestaw klawiatury/myszy")</f>
        <v>Klient Mini Qube 4 Bay z kartą graficzną Intel T1000, procesorem Intel Core 12. generacji i5 10 rdzeni, 16 GB pamięci RAM, 2 x 1 Gbe, 4 x mini Display Port (z adapterami pełnowymiarowego Display Port), systemem Windows 11 PRO, dyskiem SSD 250 GB, zasilaczem 250 W, 5-letnią gwarancją z dostawą następnego dnia roboczego, w zestawie 1 kabel zasilający i zestaw klawiatury/myszy</v>
      </c>
      <c r="K979" s="43"/>
      <c r="L979" s="44">
        <v>5822.0</v>
      </c>
      <c r="M979" s="8"/>
      <c r="N979" s="45" t="s">
        <v>81</v>
      </c>
      <c r="O979" s="97"/>
      <c r="P979" s="11"/>
      <c r="Q979" s="9"/>
      <c r="R979" s="59"/>
      <c r="S979" s="59"/>
      <c r="T979" s="59"/>
      <c r="U979" s="9"/>
      <c r="V979" s="9"/>
      <c r="W979" s="9"/>
      <c r="X979" s="9"/>
      <c r="Y979" s="9"/>
      <c r="Z979" s="9"/>
      <c r="AA979" s="9"/>
      <c r="AB979" s="9"/>
      <c r="AC979" s="60"/>
      <c r="AD979" s="61"/>
      <c r="AE979" s="61"/>
      <c r="AF979" s="61"/>
      <c r="AG979" s="61"/>
      <c r="AH979" s="61"/>
      <c r="AI979" s="61"/>
      <c r="AJ979" s="61"/>
      <c r="AK979" s="61"/>
      <c r="AL979" s="61"/>
      <c r="AM979" s="61"/>
      <c r="AN979" s="61"/>
      <c r="AO979" s="61"/>
      <c r="AP979" s="61"/>
    </row>
    <row r="980" ht="46.5" customHeight="1">
      <c r="A980" s="1"/>
      <c r="B980" s="40" t="s">
        <v>2579</v>
      </c>
      <c r="C980" s="39" t="s">
        <v>2604</v>
      </c>
      <c r="D980" s="39" t="s">
        <v>2602</v>
      </c>
      <c r="E980" s="38"/>
      <c r="F980" s="38"/>
      <c r="G980" s="38"/>
      <c r="H980" s="39" t="s">
        <v>79</v>
      </c>
      <c r="I980" s="42" t="s">
        <v>2605</v>
      </c>
      <c r="J980" s="42" t="str">
        <f>IFERROR(__xludf.DUMMYFUNCTION("GOOGLETRANSLATE(I980,""en"",""pl"")"),"Klient Mini Qube 4 Bay z kartą graficzną Intel T1000, procesorem Intel Core 12. generacji i7 10 rdzeni, 16 GB pamięci RAM, 2 x 1 Gbe, 4 x mini Display Port (z adapterami pełnowymiarowego Display Port), systemem Windows 11 PRO, dyskiem SSD 250 GB, zasilacz"&amp;"em 250 W, 5-letnią gwarancją z dostawą następnego dnia roboczego, w zestawie 1 kabel zasilający i zestaw klawiatury/myszy")</f>
        <v>Klient Mini Qube 4 Bay z kartą graficzną Intel T1000, procesorem Intel Core 12. generacji i7 10 rdzeni, 16 GB pamięci RAM, 2 x 1 Gbe, 4 x mini Display Port (z adapterami pełnowymiarowego Display Port), systemem Windows 11 PRO, dyskiem SSD 250 GB, zasilaczem 250 W, 5-letnią gwarancją z dostawą następnego dnia roboczego, w zestawie 1 kabel zasilający i zestaw klawiatury/myszy</v>
      </c>
      <c r="K980" s="43"/>
      <c r="L980" s="44">
        <v>6780.0</v>
      </c>
      <c r="M980" s="8"/>
      <c r="N980" s="45" t="s">
        <v>81</v>
      </c>
      <c r="O980" s="97"/>
      <c r="P980" s="11"/>
      <c r="Q980" s="9"/>
      <c r="R980" s="59"/>
      <c r="S980" s="59"/>
      <c r="T980" s="59"/>
      <c r="U980" s="9"/>
      <c r="V980" s="9"/>
      <c r="W980" s="9"/>
      <c r="X980" s="9"/>
      <c r="Y980" s="9"/>
      <c r="Z980" s="9"/>
      <c r="AA980" s="9"/>
      <c r="AB980" s="9"/>
      <c r="AC980" s="60"/>
      <c r="AD980" s="61"/>
      <c r="AE980" s="61"/>
      <c r="AF980" s="61"/>
      <c r="AG980" s="61"/>
      <c r="AH980" s="61"/>
      <c r="AI980" s="61"/>
      <c r="AJ980" s="61"/>
      <c r="AK980" s="61"/>
      <c r="AL980" s="61"/>
      <c r="AM980" s="61"/>
      <c r="AN980" s="61"/>
      <c r="AO980" s="61"/>
      <c r="AP980" s="61"/>
    </row>
    <row r="981" ht="46.5" customHeight="1">
      <c r="A981" s="1"/>
      <c r="B981" s="40" t="s">
        <v>2579</v>
      </c>
      <c r="C981" s="39" t="s">
        <v>2606</v>
      </c>
      <c r="D981" s="39" t="s">
        <v>2607</v>
      </c>
      <c r="E981" s="38"/>
      <c r="F981" s="38"/>
      <c r="G981" s="38"/>
      <c r="H981" s="39" t="s">
        <v>79</v>
      </c>
      <c r="I981" s="42" t="s">
        <v>2608</v>
      </c>
      <c r="J981" s="42" t="str">
        <f>IFERROR(__xludf.DUMMYFUNCTION("GOOGLETRANSLATE(I981,""en"",""pl"")"),"Dysk twardy Mini Qube 4 Bay 4TB JBOD z klientem, kartą graficzną Intel T1000, procesorem Intel Core 12. generacji i7 10 rdzeni, pamięcią RAM 16 GB, 2 portami 1 GbE, 4 portami mini Display Port (z adapterami pełnowymiarowego Display Port), systemem Windows"&amp;" 11 PRO, dyskiem SSD 250 GB, zasilaczem 250 W, 5-letnią gwarancją z dostawą następnego dnia roboczego, w zestawie 1 kabel zasilający i zestaw klawiatury/myszy")</f>
        <v>Dysk twardy Mini Qube 4 Bay 4TB JBOD z klientem, kartą graficzną Intel T1000, procesorem Intel Core 12. generacji i7 10 rdzeni, pamięcią RAM 16 GB, 2 portami 1 GbE, 4 portami mini Display Port (z adapterami pełnowymiarowego Display Port), systemem Windows 11 PRO, dyskiem SSD 250 GB, zasilaczem 250 W, 5-letnią gwarancją z dostawą następnego dnia roboczego, w zestawie 1 kabel zasilający i zestaw klawiatury/myszy</v>
      </c>
      <c r="K981" s="43"/>
      <c r="L981" s="44">
        <v>7154.0</v>
      </c>
      <c r="M981" s="8"/>
      <c r="N981" s="45" t="s">
        <v>81</v>
      </c>
      <c r="O981" s="97"/>
      <c r="P981" s="11"/>
      <c r="Q981" s="9"/>
      <c r="R981" s="59"/>
      <c r="S981" s="59"/>
      <c r="T981" s="59"/>
      <c r="U981" s="9"/>
      <c r="V981" s="9"/>
      <c r="W981" s="9"/>
      <c r="X981" s="9"/>
      <c r="Y981" s="9"/>
      <c r="Z981" s="9"/>
      <c r="AA981" s="9"/>
      <c r="AB981" s="9"/>
      <c r="AC981" s="60"/>
      <c r="AD981" s="61"/>
      <c r="AE981" s="61"/>
      <c r="AF981" s="61"/>
      <c r="AG981" s="61"/>
      <c r="AH981" s="61"/>
      <c r="AI981" s="61"/>
      <c r="AJ981" s="61"/>
      <c r="AK981" s="61"/>
      <c r="AL981" s="61"/>
      <c r="AM981" s="61"/>
      <c r="AN981" s="61"/>
      <c r="AO981" s="61"/>
      <c r="AP981" s="61"/>
    </row>
    <row r="982" ht="46.5" customHeight="1">
      <c r="A982" s="1"/>
      <c r="B982" s="40" t="s">
        <v>2579</v>
      </c>
      <c r="C982" s="39" t="s">
        <v>2609</v>
      </c>
      <c r="D982" s="39" t="s">
        <v>2610</v>
      </c>
      <c r="E982" s="38"/>
      <c r="F982" s="38"/>
      <c r="G982" s="38"/>
      <c r="H982" s="39" t="s">
        <v>79</v>
      </c>
      <c r="I982" s="42" t="s">
        <v>2611</v>
      </c>
      <c r="J982" s="42" t="str">
        <f>IFERROR(__xludf.DUMMYFUNCTION("GOOGLETRANSLATE(I982,""en"",""pl"")"),"Klient do montażu w szafie 1U, 2 wyjścia na monitor i7, 16 GB pamięci RAM, dysk SSD 250 GB, karta graficzna Nvidia Quadro P400, 2 x GB LAN, system Windows 11")</f>
        <v>Klient do montażu w szafie 1U, 2 wyjścia na monitor i7, 16 GB pamięci RAM, dysk SSD 250 GB, karta graficzna Nvidia Quadro P400, 2 x GB LAN, system Windows 11</v>
      </c>
      <c r="K982" s="108"/>
      <c r="L982" s="44">
        <v>5460.0</v>
      </c>
      <c r="M982" s="8"/>
      <c r="N982" s="45" t="s">
        <v>81</v>
      </c>
      <c r="O982" s="97"/>
      <c r="P982" s="11"/>
      <c r="Q982" s="9"/>
      <c r="R982" s="59"/>
      <c r="S982" s="59"/>
      <c r="T982" s="59"/>
      <c r="U982" s="9"/>
      <c r="V982" s="9"/>
      <c r="W982" s="9"/>
      <c r="X982" s="9"/>
      <c r="Y982" s="9"/>
      <c r="Z982" s="9"/>
      <c r="AA982" s="9"/>
      <c r="AB982" s="9"/>
      <c r="AC982" s="60"/>
      <c r="AD982" s="61"/>
      <c r="AE982" s="61"/>
      <c r="AF982" s="61"/>
      <c r="AG982" s="61"/>
      <c r="AH982" s="61"/>
      <c r="AI982" s="61"/>
      <c r="AJ982" s="61"/>
      <c r="AK982" s="61"/>
      <c r="AL982" s="61"/>
      <c r="AM982" s="61"/>
      <c r="AN982" s="61"/>
      <c r="AO982" s="61"/>
      <c r="AP982" s="61"/>
    </row>
    <row r="983" ht="46.5" customHeight="1">
      <c r="A983" s="1"/>
      <c r="B983" s="40" t="s">
        <v>2579</v>
      </c>
      <c r="C983" s="39" t="s">
        <v>2612</v>
      </c>
      <c r="D983" s="39" t="s">
        <v>2613</v>
      </c>
      <c r="E983" s="38"/>
      <c r="F983" s="38"/>
      <c r="G983" s="38"/>
      <c r="H983" s="39" t="s">
        <v>79</v>
      </c>
      <c r="I983" s="42" t="s">
        <v>2614</v>
      </c>
      <c r="J983" s="42" t="str">
        <f>IFERROR(__xludf.DUMMYFUNCTION("GOOGLETRANSLATE(I983,""en"",""pl"")"),"Klient do montażu w szafie 1U, 4 wyjścia na monitor i7, 16 GB pamięci RAM, dysk SSD 250 GB, karta graficzna Nvidia Quadro T1000, 2 x GB LAN, system Windows 11")</f>
        <v>Klient do montażu w szafie 1U, 4 wyjścia na monitor i7, 16 GB pamięci RAM, dysk SSD 250 GB, karta graficzna Nvidia Quadro T1000, 2 x GB LAN, system Windows 11</v>
      </c>
      <c r="K983" s="108"/>
      <c r="L983" s="44">
        <v>6297.0</v>
      </c>
      <c r="M983" s="8"/>
      <c r="N983" s="45" t="s">
        <v>81</v>
      </c>
      <c r="O983" s="97"/>
      <c r="P983" s="11"/>
      <c r="Q983" s="9"/>
      <c r="R983" s="59"/>
      <c r="S983" s="59"/>
      <c r="T983" s="59"/>
      <c r="U983" s="9"/>
      <c r="V983" s="9"/>
      <c r="W983" s="9"/>
      <c r="X983" s="9"/>
      <c r="Y983" s="9"/>
      <c r="Z983" s="9"/>
      <c r="AA983" s="9"/>
      <c r="AB983" s="9"/>
      <c r="AC983" s="60"/>
      <c r="AD983" s="61"/>
      <c r="AE983" s="61"/>
      <c r="AF983" s="61"/>
      <c r="AG983" s="61"/>
      <c r="AH983" s="61"/>
      <c r="AI983" s="61"/>
      <c r="AJ983" s="61"/>
      <c r="AK983" s="61"/>
      <c r="AL983" s="61"/>
      <c r="AM983" s="61"/>
      <c r="AN983" s="61"/>
      <c r="AO983" s="61"/>
      <c r="AP983" s="61"/>
    </row>
    <row r="984" ht="46.5" customHeight="1">
      <c r="A984" s="1"/>
      <c r="B984" s="38" t="s">
        <v>2615</v>
      </c>
      <c r="C984" s="39" t="s">
        <v>2616</v>
      </c>
      <c r="D984" s="39" t="s">
        <v>2617</v>
      </c>
      <c r="E984" s="38"/>
      <c r="F984" s="38"/>
      <c r="G984" s="38"/>
      <c r="H984" s="39" t="s">
        <v>79</v>
      </c>
      <c r="I984" s="42" t="s">
        <v>2618</v>
      </c>
      <c r="J984" s="42" t="str">
        <f>IFERROR(__xludf.DUMMYFUNCTION("GOOGLETRANSLATE(I984,""en"",""pl"")"),"Serwer zarządzający 1U 4-zatokowy z funkcją wymiany na gorąco, montowany w szafie typu rack, procesor Intel Xenon E 6 Core, 16 GB pamięci RAM, 2 x 1 Gb/s, wbudowana karta VGA, system Windows Server 2022, 2 x dysk SSD 240 GB w konfiguracji RAID1, redundant"&amp;"ny zasilacz 300 W, 5-letnia gwarancja na dostawę następnego dnia roboczego, w zestawie 2 kable zasilające, zestaw do montażu w szafie rack oraz zestaw klawiatury/myszy (w zestawie dysk twardy 2 TB)")</f>
        <v>Serwer zarządzający 1U 4-zatokowy z funkcją wymiany na gorąco, montowany w szafie typu rack, procesor Intel Xenon E 6 Core, 16 GB pamięci RAM, 2 x 1 Gb/s, wbudowana karta VGA, system Windows Server 2022, 2 x dysk SSD 240 GB w konfiguracji RAID1, redundantny zasilacz 300 W, 5-letnia gwarancja na dostawę następnego dnia roboczego, w zestawie 2 kable zasilające, zestaw do montażu w szafie rack oraz zestaw klawiatury/myszy (w zestawie dysk twardy 2 TB)</v>
      </c>
      <c r="K984" s="43" t="s">
        <v>21</v>
      </c>
      <c r="L984" s="44">
        <v>6638.0</v>
      </c>
      <c r="M984" s="8"/>
      <c r="N984" s="45" t="s">
        <v>81</v>
      </c>
      <c r="O984" s="97"/>
      <c r="P984" s="11"/>
      <c r="Q984" s="9"/>
      <c r="R984" s="59"/>
      <c r="S984" s="59"/>
      <c r="T984" s="59"/>
      <c r="U984" s="9"/>
      <c r="V984" s="9"/>
      <c r="W984" s="9"/>
      <c r="X984" s="9"/>
      <c r="Y984" s="9"/>
      <c r="Z984" s="9"/>
      <c r="AA984" s="9"/>
      <c r="AB984" s="9"/>
      <c r="AC984" s="60"/>
      <c r="AD984" s="61"/>
      <c r="AE984" s="61"/>
      <c r="AF984" s="61"/>
      <c r="AG984" s="61"/>
      <c r="AH984" s="61"/>
      <c r="AI984" s="61"/>
      <c r="AJ984" s="61"/>
      <c r="AK984" s="61"/>
      <c r="AL984" s="61"/>
      <c r="AM984" s="61"/>
      <c r="AN984" s="61"/>
      <c r="AO984" s="61"/>
      <c r="AP984" s="61"/>
    </row>
    <row r="985" ht="30.0" customHeight="1">
      <c r="A985" s="1"/>
      <c r="B985" s="129" t="s">
        <v>2619</v>
      </c>
      <c r="C985" s="113"/>
      <c r="D985" s="113"/>
      <c r="E985" s="144"/>
      <c r="F985" s="144"/>
      <c r="G985" s="144"/>
      <c r="H985" s="94"/>
      <c r="I985" s="113"/>
      <c r="J985" s="42" t="str">
        <f>IFERROR(__xludf.DUMMYFUNCTION("GOOGLETRANSLATE(I985,""en"",""pl"")"),"#VALUE!")</f>
        <v>#VALUE!</v>
      </c>
      <c r="K985" s="144"/>
      <c r="L985" s="114"/>
      <c r="M985" s="115"/>
      <c r="N985" s="96"/>
      <c r="O985" s="146"/>
      <c r="P985" s="11"/>
      <c r="Q985" s="9"/>
      <c r="R985" s="59"/>
      <c r="S985" s="59"/>
      <c r="T985" s="59"/>
      <c r="U985" s="9"/>
      <c r="V985" s="9"/>
      <c r="W985" s="9"/>
      <c r="X985" s="9"/>
      <c r="Y985" s="9"/>
      <c r="Z985" s="9"/>
      <c r="AA985" s="9"/>
      <c r="AB985" s="9"/>
      <c r="AC985" s="60"/>
      <c r="AD985" s="61"/>
      <c r="AE985" s="61"/>
      <c r="AF985" s="61"/>
      <c r="AG985" s="61"/>
      <c r="AH985" s="61"/>
      <c r="AI985" s="61"/>
      <c r="AJ985" s="61"/>
      <c r="AK985" s="61"/>
      <c r="AL985" s="61"/>
      <c r="AM985" s="61"/>
      <c r="AN985" s="61"/>
      <c r="AO985" s="61"/>
      <c r="AP985" s="61"/>
    </row>
    <row r="986" ht="46.5" customHeight="1">
      <c r="A986" s="1"/>
      <c r="B986" s="116" t="s">
        <v>2620</v>
      </c>
      <c r="C986" s="117" t="s">
        <v>2621</v>
      </c>
      <c r="D986" s="116" t="s">
        <v>2622</v>
      </c>
      <c r="E986" s="38"/>
      <c r="F986" s="38"/>
      <c r="G986" s="38"/>
      <c r="H986" s="117" t="s">
        <v>170</v>
      </c>
      <c r="I986" s="119" t="s">
        <v>2623</v>
      </c>
      <c r="J986" s="42" t="str">
        <f>IFERROR(__xludf.DUMMYFUNCTION("GOOGLETRANSLATE(I986,""en"",""pl"")"),"AMGPSU-I24-P60 60 W AC/DC 85-264Vin, zasilacz 24 V wyjściowy, montaż na szynie DIN")</f>
        <v>AMGPSU-I24-P60 60 W AC/DC 85-264Vin, zasilacz 24 V wyjściowy, montaż na szynie DIN</v>
      </c>
      <c r="K986" s="43" t="s">
        <v>21</v>
      </c>
      <c r="L986" s="44">
        <v>112.0</v>
      </c>
      <c r="M986" s="8"/>
      <c r="N986" s="45" t="s">
        <v>22</v>
      </c>
      <c r="O986" s="97"/>
      <c r="P986" s="11"/>
      <c r="Q986" s="9"/>
      <c r="R986" s="59"/>
      <c r="S986" s="59"/>
      <c r="T986" s="59"/>
      <c r="U986" s="9"/>
      <c r="V986" s="9"/>
      <c r="W986" s="9"/>
      <c r="X986" s="9"/>
      <c r="Y986" s="9"/>
      <c r="Z986" s="9"/>
      <c r="AA986" s="9"/>
      <c r="AB986" s="9"/>
      <c r="AC986" s="60"/>
      <c r="AD986" s="61"/>
      <c r="AE986" s="61"/>
      <c r="AF986" s="61"/>
      <c r="AG986" s="61"/>
      <c r="AH986" s="61"/>
      <c r="AI986" s="61"/>
      <c r="AJ986" s="61"/>
      <c r="AK986" s="61"/>
      <c r="AL986" s="61"/>
      <c r="AM986" s="61"/>
      <c r="AN986" s="61"/>
      <c r="AO986" s="61"/>
      <c r="AP986" s="61"/>
    </row>
    <row r="987" ht="46.5" customHeight="1">
      <c r="A987" s="1"/>
      <c r="B987" s="116" t="s">
        <v>2620</v>
      </c>
      <c r="C987" s="39" t="s">
        <v>2624</v>
      </c>
      <c r="D987" s="116" t="s">
        <v>2625</v>
      </c>
      <c r="E987" s="38"/>
      <c r="F987" s="38"/>
      <c r="G987" s="38"/>
      <c r="H987" s="117" t="s">
        <v>170</v>
      </c>
      <c r="I987" s="42" t="s">
        <v>2626</v>
      </c>
      <c r="J987" s="42" t="str">
        <f>IFERROR(__xludf.DUMMYFUNCTION("GOOGLETRANSLATE(I987,""en"",""pl"")"),"Zasilacz przemysłowy 48 V DC, 240 W (5 A), montaż na szynie DIN, od -40°C do +70°C, wyjście przekaźnika błędu (regulowane 48–53 V DC)")</f>
        <v>Zasilacz przemysłowy 48 V DC, 240 W (5 A), montaż na szynie DIN, od -40°C do +70°C, wyjście przekaźnika błędu (regulowane 48–53 V DC)</v>
      </c>
      <c r="K987" s="43" t="s">
        <v>21</v>
      </c>
      <c r="L987" s="44">
        <v>233.0</v>
      </c>
      <c r="M987" s="8"/>
      <c r="N987" s="45" t="s">
        <v>22</v>
      </c>
      <c r="O987" s="97"/>
      <c r="P987" s="11"/>
      <c r="Q987" s="9"/>
      <c r="R987" s="59"/>
      <c r="S987" s="59"/>
      <c r="T987" s="59"/>
      <c r="U987" s="9"/>
      <c r="V987" s="9"/>
      <c r="W987" s="9"/>
      <c r="X987" s="9"/>
      <c r="Y987" s="9"/>
      <c r="Z987" s="9"/>
      <c r="AA987" s="9"/>
      <c r="AB987" s="9"/>
      <c r="AC987" s="60"/>
      <c r="AD987" s="61"/>
      <c r="AE987" s="61"/>
      <c r="AF987" s="61"/>
      <c r="AG987" s="61"/>
      <c r="AH987" s="61"/>
      <c r="AI987" s="61"/>
      <c r="AJ987" s="61"/>
      <c r="AK987" s="61"/>
      <c r="AL987" s="61"/>
      <c r="AM987" s="61"/>
      <c r="AN987" s="61"/>
      <c r="AO987" s="61"/>
      <c r="AP987" s="61"/>
    </row>
    <row r="988" ht="46.5" customHeight="1">
      <c r="A988" s="1"/>
      <c r="B988" s="116" t="s">
        <v>2627</v>
      </c>
      <c r="C988" s="39" t="s">
        <v>2628</v>
      </c>
      <c r="D988" s="116" t="s">
        <v>2627</v>
      </c>
      <c r="E988" s="38"/>
      <c r="F988" s="38"/>
      <c r="G988" s="38"/>
      <c r="H988" s="117" t="s">
        <v>170</v>
      </c>
      <c r="I988" s="42" t="s">
        <v>2629</v>
      </c>
      <c r="J988" s="42" t="str">
        <f>IFERROR(__xludf.DUMMYFUNCTION("GOOGLETRANSLATE(I988,""en"",""pl"")"),"SFP wielomodowy, 100 Mb, 1 włókno, 2 km, złącze LC, 1310 nm Tx / 1550 nm Rx, od -40°C do +85°C, DDM (pasuje do SFP-MM-100M-BX2-55)")</f>
        <v>SFP wielomodowy, 100 Mb, 1 włókno, 2 km, złącze LC, 1310 nm Tx / 1550 nm Rx, od -40°C do +85°C, DDM (pasuje do SFP-MM-100M-BX2-55)</v>
      </c>
      <c r="K988" s="108"/>
      <c r="L988" s="44">
        <v>98.0</v>
      </c>
      <c r="M988" s="8"/>
      <c r="N988" s="45" t="s">
        <v>22</v>
      </c>
      <c r="O988" s="97"/>
      <c r="P988" s="11"/>
      <c r="Q988" s="9"/>
      <c r="R988" s="59"/>
      <c r="S988" s="59"/>
      <c r="T988" s="59"/>
      <c r="U988" s="9"/>
      <c r="V988" s="9"/>
      <c r="W988" s="9"/>
      <c r="X988" s="9"/>
      <c r="Y988" s="9"/>
      <c r="Z988" s="9"/>
      <c r="AA988" s="9"/>
      <c r="AB988" s="9"/>
      <c r="AC988" s="60"/>
      <c r="AD988" s="61"/>
      <c r="AE988" s="61"/>
      <c r="AF988" s="61"/>
      <c r="AG988" s="61"/>
      <c r="AH988" s="61"/>
      <c r="AI988" s="61"/>
      <c r="AJ988" s="61"/>
      <c r="AK988" s="61"/>
      <c r="AL988" s="61"/>
      <c r="AM988" s="61"/>
      <c r="AN988" s="61"/>
      <c r="AO988" s="61"/>
      <c r="AP988" s="61"/>
    </row>
    <row r="989" ht="46.5" customHeight="1">
      <c r="A989" s="1"/>
      <c r="B989" s="116" t="s">
        <v>2627</v>
      </c>
      <c r="C989" s="39" t="s">
        <v>2630</v>
      </c>
      <c r="D989" s="116" t="s">
        <v>2627</v>
      </c>
      <c r="E989" s="38"/>
      <c r="F989" s="38"/>
      <c r="G989" s="38"/>
      <c r="H989" s="117" t="s">
        <v>170</v>
      </c>
      <c r="I989" s="42" t="s">
        <v>2631</v>
      </c>
      <c r="J989" s="42" t="str">
        <f>IFERROR(__xludf.DUMMYFUNCTION("GOOGLETRANSLATE(I989,""en"",""pl"")"),"SFP wielomodowy, 100 Mb/s, 1 włókno, 2 km, złącze LC, 1550 nm Tx / 1310 nm Rx, od -40°C do +85°C, DDM (pasuje do SFP-MM-100M-BX2-31)")</f>
        <v>SFP wielomodowy, 100 Mb/s, 1 włókno, 2 km, złącze LC, 1550 nm Tx / 1310 nm Rx, od -40°C do +85°C, DDM (pasuje do SFP-MM-100M-BX2-31)</v>
      </c>
      <c r="K989" s="108"/>
      <c r="L989" s="44">
        <v>98.0</v>
      </c>
      <c r="M989" s="8"/>
      <c r="N989" s="45" t="s">
        <v>22</v>
      </c>
      <c r="O989" s="97"/>
      <c r="P989" s="11"/>
      <c r="Q989" s="9"/>
      <c r="R989" s="59"/>
      <c r="S989" s="59"/>
      <c r="T989" s="59"/>
      <c r="U989" s="9"/>
      <c r="V989" s="9"/>
      <c r="W989" s="9"/>
      <c r="X989" s="9"/>
      <c r="Y989" s="9"/>
      <c r="Z989" s="9"/>
      <c r="AA989" s="9"/>
      <c r="AB989" s="9"/>
      <c r="AC989" s="60"/>
      <c r="AD989" s="61"/>
      <c r="AE989" s="61"/>
      <c r="AF989" s="61"/>
      <c r="AG989" s="61"/>
      <c r="AH989" s="61"/>
      <c r="AI989" s="61"/>
      <c r="AJ989" s="61"/>
      <c r="AK989" s="61"/>
      <c r="AL989" s="61"/>
      <c r="AM989" s="61"/>
      <c r="AN989" s="61"/>
      <c r="AO989" s="61"/>
      <c r="AP989" s="61"/>
    </row>
    <row r="990" ht="46.5" customHeight="1">
      <c r="A990" s="1"/>
      <c r="B990" s="116" t="s">
        <v>2632</v>
      </c>
      <c r="C990" s="39" t="s">
        <v>2633</v>
      </c>
      <c r="D990" s="116" t="s">
        <v>2632</v>
      </c>
      <c r="E990" s="38"/>
      <c r="F990" s="38"/>
      <c r="G990" s="38"/>
      <c r="H990" s="117" t="s">
        <v>170</v>
      </c>
      <c r="I990" s="42" t="s">
        <v>2634</v>
      </c>
      <c r="J990" s="42" t="str">
        <f>IFERROR(__xludf.DUMMYFUNCTION("GOOGLETRANSLATE(I990,""en"",""pl"")"),"SFP jednomodowy, 100 Mb, 1 włókno, 20 km, złącze LC, 1310 nm Tx / 1550 nm Rx, od -40°C do +85°C, DDM (pasuje do SFP-SM-100M-BX20-55)")</f>
        <v>SFP jednomodowy, 100 Mb, 1 włókno, 20 km, złącze LC, 1310 nm Tx / 1550 nm Rx, od -40°C do +85°C, DDM (pasuje do SFP-SM-100M-BX20-55)</v>
      </c>
      <c r="K990" s="108"/>
      <c r="L990" s="44">
        <v>98.0</v>
      </c>
      <c r="M990" s="8"/>
      <c r="N990" s="45" t="s">
        <v>22</v>
      </c>
      <c r="O990" s="97"/>
      <c r="P990" s="11"/>
      <c r="Q990" s="9"/>
      <c r="R990" s="59"/>
      <c r="S990" s="59"/>
      <c r="T990" s="59"/>
      <c r="U990" s="9"/>
      <c r="V990" s="9"/>
      <c r="W990" s="9"/>
      <c r="X990" s="9"/>
      <c r="Y990" s="9"/>
      <c r="Z990" s="9"/>
      <c r="AA990" s="9"/>
      <c r="AB990" s="9"/>
      <c r="AC990" s="60"/>
      <c r="AD990" s="61"/>
      <c r="AE990" s="61"/>
      <c r="AF990" s="61"/>
      <c r="AG990" s="61"/>
      <c r="AH990" s="61"/>
      <c r="AI990" s="61"/>
      <c r="AJ990" s="61"/>
      <c r="AK990" s="61"/>
      <c r="AL990" s="61"/>
      <c r="AM990" s="61"/>
      <c r="AN990" s="61"/>
      <c r="AO990" s="61"/>
      <c r="AP990" s="61"/>
    </row>
    <row r="991" ht="46.5" customHeight="1">
      <c r="A991" s="1"/>
      <c r="B991" s="116" t="s">
        <v>2632</v>
      </c>
      <c r="C991" s="39" t="s">
        <v>2635</v>
      </c>
      <c r="D991" s="116" t="s">
        <v>2632</v>
      </c>
      <c r="E991" s="38"/>
      <c r="F991" s="38"/>
      <c r="G991" s="38"/>
      <c r="H991" s="117" t="s">
        <v>170</v>
      </c>
      <c r="I991" s="42" t="s">
        <v>2636</v>
      </c>
      <c r="J991" s="42" t="str">
        <f>IFERROR(__xludf.DUMMYFUNCTION("GOOGLETRANSLATE(I991,""en"",""pl"")"),"SFP jednomodowy, 100 Mb, 1 włókno, 20 km, złącze LC, 1550 nm Tx / 1310 nm Rx, od -40°C do +85°C, DDM (pasuje do SFP-SM-100M-BX20-31)")</f>
        <v>SFP jednomodowy, 100 Mb, 1 włókno, 20 km, złącze LC, 1550 nm Tx / 1310 nm Rx, od -40°C do +85°C, DDM (pasuje do SFP-SM-100M-BX20-31)</v>
      </c>
      <c r="K991" s="108"/>
      <c r="L991" s="44">
        <v>98.0</v>
      </c>
      <c r="M991" s="8"/>
      <c r="N991" s="45" t="s">
        <v>22</v>
      </c>
      <c r="O991" s="97"/>
      <c r="P991" s="11"/>
      <c r="Q991" s="9"/>
      <c r="R991" s="59"/>
      <c r="S991" s="59"/>
      <c r="T991" s="59"/>
      <c r="U991" s="9"/>
      <c r="V991" s="9"/>
      <c r="W991" s="9"/>
      <c r="X991" s="9"/>
      <c r="Y991" s="9"/>
      <c r="Z991" s="9"/>
      <c r="AA991" s="9"/>
      <c r="AB991" s="9"/>
      <c r="AC991" s="60"/>
      <c r="AD991" s="61"/>
      <c r="AE991" s="61"/>
      <c r="AF991" s="61"/>
      <c r="AG991" s="61"/>
      <c r="AH991" s="61"/>
      <c r="AI991" s="61"/>
      <c r="AJ991" s="61"/>
      <c r="AK991" s="61"/>
      <c r="AL991" s="61"/>
      <c r="AM991" s="61"/>
      <c r="AN991" s="61"/>
      <c r="AO991" s="61"/>
      <c r="AP991" s="61"/>
    </row>
    <row r="992" ht="46.5" customHeight="1">
      <c r="A992" s="1"/>
      <c r="B992" s="116" t="s">
        <v>2637</v>
      </c>
      <c r="C992" s="39" t="s">
        <v>2638</v>
      </c>
      <c r="D992" s="40" t="s">
        <v>2639</v>
      </c>
      <c r="E992" s="38"/>
      <c r="F992" s="38"/>
      <c r="G992" s="38"/>
      <c r="H992" s="117" t="s">
        <v>170</v>
      </c>
      <c r="I992" s="42" t="s">
        <v>2640</v>
      </c>
      <c r="J992" s="42" t="str">
        <f>IFERROR(__xludf.DUMMYFUNCTION("GOOGLETRANSLATE(I992,""en"",""pl"")"),"Przemysłowy 2-portowy wtryskiwacz PoE, 2 porty RJ45 10/100/1000Base-T(x) z PoE 802.3bt 60/90 W, możliwość podłączenia 1 wejścia i 1 wyjścia 90 W lub 2 wyjść 90 W, montaż na szynie DIN / ścianie, od -40°C do +75°C, wejście zasilania 48-56 V DC")</f>
        <v>Przemysłowy 2-portowy wtryskiwacz PoE, 2 porty RJ45 10/100/1000Base-T(x) z PoE 802.3bt 60/90 W, możliwość podłączenia 1 wejścia i 1 wyjścia 90 W lub 2 wyjść 90 W, montaż na szynie DIN / ścianie, od -40°C do +75°C, wejście zasilania 48-56 V DC</v>
      </c>
      <c r="K992" s="108"/>
      <c r="L992" s="44">
        <v>451.0</v>
      </c>
      <c r="M992" s="8"/>
      <c r="N992" s="45" t="s">
        <v>22</v>
      </c>
      <c r="O992" s="97"/>
      <c r="P992" s="11"/>
      <c r="Q992" s="9"/>
      <c r="R992" s="59"/>
      <c r="S992" s="59"/>
      <c r="T992" s="59"/>
      <c r="U992" s="9"/>
      <c r="V992" s="9"/>
      <c r="W992" s="9"/>
      <c r="X992" s="9"/>
      <c r="Y992" s="9"/>
      <c r="Z992" s="9"/>
      <c r="AA992" s="9"/>
      <c r="AB992" s="9"/>
      <c r="AC992" s="60"/>
      <c r="AD992" s="61"/>
      <c r="AE992" s="61"/>
      <c r="AF992" s="61"/>
      <c r="AG992" s="61"/>
      <c r="AH992" s="61"/>
      <c r="AI992" s="61"/>
      <c r="AJ992" s="61"/>
      <c r="AK992" s="61"/>
      <c r="AL992" s="61"/>
      <c r="AM992" s="61"/>
      <c r="AN992" s="61"/>
      <c r="AO992" s="61"/>
      <c r="AP992" s="61"/>
    </row>
    <row r="993" ht="46.5" customHeight="1">
      <c r="A993" s="1"/>
      <c r="B993" s="116" t="s">
        <v>2637</v>
      </c>
      <c r="C993" s="39" t="s">
        <v>2641</v>
      </c>
      <c r="D993" s="40" t="s">
        <v>2642</v>
      </c>
      <c r="E993" s="38"/>
      <c r="F993" s="38"/>
      <c r="G993" s="38"/>
      <c r="H993" s="117" t="s">
        <v>170</v>
      </c>
      <c r="I993" s="42" t="s">
        <v>2643</v>
      </c>
      <c r="J993" s="42" t="str">
        <f>IFERROR(__xludf.DUMMYFUNCTION("GOOGLETRANSLATE(I993,""en"",""pl"")"),"Przemysłowy 4-portowy wtryskiwacz PoE, 4 porty RJ45 10/100/1000Base-T(x) (wejście), 4 porty RJ45 10/100/1000Base-T(x) z 802.3at 30 W PoE (wyjście), montaż na szynie DIN / na ścianie, od -40°C do +75°C, wejście zasilania 48–56 V DC")</f>
        <v>Przemysłowy 4-portowy wtryskiwacz PoE, 4 porty RJ45 10/100/1000Base-T(x) (wejście), 4 porty RJ45 10/100/1000Base-T(x) z 802.3at 30 W PoE (wyjście), montaż na szynie DIN / na ścianie, od -40°C do +75°C, wejście zasilania 48–56 V DC</v>
      </c>
      <c r="K993" s="108"/>
      <c r="L993" s="44">
        <v>759.0</v>
      </c>
      <c r="M993" s="8"/>
      <c r="N993" s="45" t="s">
        <v>22</v>
      </c>
      <c r="O993" s="97"/>
      <c r="P993" s="11"/>
      <c r="Q993" s="9"/>
      <c r="R993" s="59"/>
      <c r="S993" s="59"/>
      <c r="T993" s="59"/>
      <c r="U993" s="9"/>
      <c r="V993" s="9"/>
      <c r="W993" s="9"/>
      <c r="X993" s="9"/>
      <c r="Y993" s="9"/>
      <c r="Z993" s="9"/>
      <c r="AA993" s="9"/>
      <c r="AB993" s="9"/>
      <c r="AC993" s="60"/>
      <c r="AD993" s="61"/>
      <c r="AE993" s="61"/>
      <c r="AF993" s="61"/>
      <c r="AG993" s="61"/>
      <c r="AH993" s="61"/>
      <c r="AI993" s="61"/>
      <c r="AJ993" s="61"/>
      <c r="AK993" s="61"/>
      <c r="AL993" s="61"/>
      <c r="AM993" s="61"/>
      <c r="AN993" s="61"/>
      <c r="AO993" s="61"/>
      <c r="AP993" s="61"/>
    </row>
    <row r="994" ht="46.5" customHeight="1">
      <c r="A994" s="1"/>
      <c r="B994" s="116" t="s">
        <v>2644</v>
      </c>
      <c r="C994" s="39" t="s">
        <v>2645</v>
      </c>
      <c r="D994" s="40" t="s">
        <v>2646</v>
      </c>
      <c r="E994" s="38"/>
      <c r="F994" s="38"/>
      <c r="G994" s="38"/>
      <c r="H994" s="117" t="s">
        <v>170</v>
      </c>
      <c r="I994" s="42" t="s">
        <v>2647</v>
      </c>
      <c r="J994" s="42" t="str">
        <f>IFERROR(__xludf.DUMMYFUNCTION("GOOGLETRANSLATE(I994,""en"",""pl"")"),"Przemysłowy 6-portowy przełącznik zarządzalny, 2 porty RJ45 10/100/1000Base-T(x) z PoE 802.3bt 60/90 W, 2 porty RJ45 10/100/1000Base-T(x) z PoE 802.3at 30 W, 2 porty SFP 100/1000/2.5G Base-FX, montaż na szynie DIN / na ścianie, od -40°C do +75°C, wejście "&amp;"zasilania 48–56 V DC")</f>
        <v>Przemysłowy 6-portowy przełącznik zarządzalny, 2 porty RJ45 10/100/1000Base-T(x) z PoE 802.3bt 60/90 W, 2 porty RJ45 10/100/1000Base-T(x) z PoE 802.3at 30 W, 2 porty SFP 100/1000/2.5G Base-FX, montaż na szynie DIN / na ścianie, od -40°C do +75°C, wejście zasilania 48–56 V DC</v>
      </c>
      <c r="K994" s="108"/>
      <c r="L994" s="44">
        <v>1460.0</v>
      </c>
      <c r="M994" s="8"/>
      <c r="N994" s="45" t="s">
        <v>22</v>
      </c>
      <c r="O994" s="97"/>
      <c r="P994" s="11"/>
      <c r="Q994" s="9"/>
      <c r="R994" s="59"/>
      <c r="S994" s="59"/>
      <c r="T994" s="59"/>
      <c r="U994" s="9"/>
      <c r="V994" s="9"/>
      <c r="W994" s="9"/>
      <c r="X994" s="9"/>
      <c r="Y994" s="9"/>
      <c r="Z994" s="9"/>
      <c r="AA994" s="9"/>
      <c r="AB994" s="9"/>
      <c r="AC994" s="60"/>
      <c r="AD994" s="61"/>
      <c r="AE994" s="61"/>
      <c r="AF994" s="61"/>
      <c r="AG994" s="61"/>
      <c r="AH994" s="61"/>
      <c r="AI994" s="61"/>
      <c r="AJ994" s="61"/>
      <c r="AK994" s="61"/>
      <c r="AL994" s="61"/>
      <c r="AM994" s="61"/>
      <c r="AN994" s="61"/>
      <c r="AO994" s="61"/>
      <c r="AP994" s="61"/>
    </row>
    <row r="995" ht="46.5" customHeight="1">
      <c r="A995" s="1"/>
      <c r="B995" s="116" t="s">
        <v>2648</v>
      </c>
      <c r="C995" s="39" t="s">
        <v>2649</v>
      </c>
      <c r="D995" s="40" t="s">
        <v>2650</v>
      </c>
      <c r="E995" s="38"/>
      <c r="F995" s="38"/>
      <c r="G995" s="38"/>
      <c r="H995" s="117" t="s">
        <v>170</v>
      </c>
      <c r="I995" s="42" t="s">
        <v>2651</v>
      </c>
      <c r="J995" s="42" t="str">
        <f>IFERROR(__xludf.DUMMYFUNCTION("GOOGLETRANSLATE(I995,""en"",""pl"")"),"Przemysłowa, chowana obudowa rack do urządzeń AMG na szynie DIN, montaż w szafie 4U 19 cali, temperatura pracy od -40°C do +75°C, zintegrowane zarządzanie kablami, pojedyncze wejście zasilania zewnętrznego DC 12 V DC i jedno wejście 56 V DC, 10 złączy 12 "&amp;"V DC i 10 złączy 56 V DC^")</f>
        <v>Przemysłowa, chowana obudowa rack do urządzeń AMG na szynie DIN, montaż w szafie 4U 19 cali, temperatura pracy od -40°C do +75°C, zintegrowane zarządzanie kablami, pojedyncze wejście zasilania zewnętrznego DC 12 V DC i jedno wejście 56 V DC, 10 złączy 12 V DC i 10 złączy 56 V DC^</v>
      </c>
      <c r="K995" s="108"/>
      <c r="L995" s="44">
        <v>1154.0</v>
      </c>
      <c r="M995" s="8"/>
      <c r="N995" s="45" t="s">
        <v>22</v>
      </c>
      <c r="O995" s="97"/>
      <c r="P995" s="11"/>
      <c r="Q995" s="9"/>
      <c r="R995" s="59"/>
      <c r="S995" s="59"/>
      <c r="T995" s="59"/>
      <c r="U995" s="9"/>
      <c r="V995" s="9"/>
      <c r="W995" s="9"/>
      <c r="X995" s="9"/>
      <c r="Y995" s="9"/>
      <c r="Z995" s="9"/>
      <c r="AA995" s="9"/>
      <c r="AB995" s="9"/>
      <c r="AC995" s="60"/>
      <c r="AD995" s="61"/>
      <c r="AE995" s="61"/>
      <c r="AF995" s="61"/>
      <c r="AG995" s="61"/>
      <c r="AH995" s="61"/>
      <c r="AI995" s="61"/>
      <c r="AJ995" s="61"/>
      <c r="AK995" s="61"/>
      <c r="AL995" s="61"/>
      <c r="AM995" s="61"/>
      <c r="AN995" s="61"/>
      <c r="AO995" s="61"/>
      <c r="AP995" s="61"/>
    </row>
    <row r="996" ht="30.0" customHeight="1">
      <c r="A996" s="1"/>
      <c r="B996" s="129" t="s">
        <v>2652</v>
      </c>
      <c r="C996" s="113"/>
      <c r="D996" s="113"/>
      <c r="E996" s="144"/>
      <c r="F996" s="144"/>
      <c r="G996" s="144"/>
      <c r="H996" s="94"/>
      <c r="I996" s="113"/>
      <c r="J996" s="42" t="str">
        <f>IFERROR(__xludf.DUMMYFUNCTION("GOOGLETRANSLATE(I996,""en"",""pl"")"),"#VALUE!")</f>
        <v>#VALUE!</v>
      </c>
      <c r="K996" s="144"/>
      <c r="L996" s="114"/>
      <c r="M996" s="115"/>
      <c r="N996" s="96"/>
      <c r="O996" s="146"/>
      <c r="P996" s="11"/>
      <c r="Q996" s="9"/>
      <c r="R996" s="59"/>
      <c r="S996" s="59"/>
      <c r="T996" s="59"/>
      <c r="U996" s="9"/>
      <c r="V996" s="9"/>
      <c r="W996" s="9"/>
      <c r="X996" s="9"/>
      <c r="Y996" s="9"/>
      <c r="Z996" s="9"/>
      <c r="AA996" s="9"/>
      <c r="AB996" s="9"/>
      <c r="AC996" s="60"/>
      <c r="AD996" s="61"/>
      <c r="AE996" s="61"/>
      <c r="AF996" s="61"/>
      <c r="AG996" s="61"/>
      <c r="AH996" s="61"/>
      <c r="AI996" s="61"/>
      <c r="AJ996" s="61"/>
      <c r="AK996" s="61"/>
      <c r="AL996" s="61"/>
      <c r="AM996" s="61"/>
      <c r="AN996" s="61"/>
      <c r="AO996" s="61"/>
      <c r="AP996" s="61"/>
    </row>
    <row r="997" ht="46.5" customHeight="1">
      <c r="A997" s="1"/>
      <c r="B997" s="116" t="s">
        <v>2653</v>
      </c>
      <c r="C997" s="117" t="s">
        <v>2654</v>
      </c>
      <c r="D997" s="118" t="s">
        <v>2655</v>
      </c>
      <c r="E997" s="38"/>
      <c r="F997" s="38"/>
      <c r="G997" s="38"/>
      <c r="H997" s="117" t="s">
        <v>170</v>
      </c>
      <c r="I997" s="119" t="s">
        <v>2656</v>
      </c>
      <c r="J997" s="42" t="str">
        <f>IFERROR(__xludf.DUMMYFUNCTION("GOOGLETRANSLATE(I997,""en"",""pl"")"),"Przemysłowy mini konwerter mediów PoE, 1 x port RJ45 10/100/1000Base-T(x) z 802.3bt 60/90 W PoE, 1 x port SFP 100/1000Base-Fx, funkcje przełącznika DIP, montaż na szynie DIN / na ścianie, od -40°C do +75°C, wejście zasilania 52–56 V DC (zasilacz nie jest "&amp;"dołączony)")</f>
        <v>Przemysłowy mini konwerter mediów PoE, 1 x port RJ45 10/100/1000Base-T(x) z 802.3bt 60/90 W PoE, 1 x port SFP 100/1000Base-Fx, funkcje przełącznika DIP, montaż na szynie DIN / na ścianie, od -40°C do +75°C, wejście zasilania 52–56 V DC (zasilacz nie jest dołączony)</v>
      </c>
      <c r="K997" s="43"/>
      <c r="L997" s="44">
        <v>668.0</v>
      </c>
      <c r="M997" s="8"/>
      <c r="N997" s="45" t="s">
        <v>22</v>
      </c>
      <c r="O997" s="97"/>
      <c r="P997" s="11"/>
      <c r="Q997" s="9"/>
      <c r="R997" s="59"/>
      <c r="S997" s="59"/>
      <c r="T997" s="59"/>
      <c r="U997" s="9"/>
      <c r="V997" s="9"/>
      <c r="W997" s="9"/>
      <c r="X997" s="9"/>
      <c r="Y997" s="9"/>
      <c r="Z997" s="9"/>
      <c r="AA997" s="9"/>
      <c r="AB997" s="9"/>
      <c r="AC997" s="60"/>
      <c r="AD997" s="61"/>
      <c r="AE997" s="61"/>
      <c r="AF997" s="61"/>
      <c r="AG997" s="61"/>
      <c r="AH997" s="61"/>
      <c r="AI997" s="61"/>
      <c r="AJ997" s="61"/>
      <c r="AK997" s="61"/>
      <c r="AL997" s="61"/>
      <c r="AM997" s="61"/>
      <c r="AN997" s="61"/>
      <c r="AO997" s="61"/>
      <c r="AP997" s="61"/>
    </row>
    <row r="998" ht="46.5" customHeight="1">
      <c r="A998" s="1"/>
      <c r="B998" s="116" t="s">
        <v>2653</v>
      </c>
      <c r="C998" s="117" t="s">
        <v>2657</v>
      </c>
      <c r="D998" s="118" t="s">
        <v>2655</v>
      </c>
      <c r="E998" s="38"/>
      <c r="F998" s="38"/>
      <c r="G998" s="38"/>
      <c r="H998" s="117" t="s">
        <v>170</v>
      </c>
      <c r="I998" s="119" t="s">
        <v>2658</v>
      </c>
      <c r="J998" s="42" t="str">
        <f>IFERROR(__xludf.DUMMYFUNCTION("GOOGLETRANSLATE(I998,""en"",""pl"")"),"Przemysłowy miniaturowy konwerter mediów PoE, 1 x port 10/100/1000Base-T(x) RJ45 z PoE 802.3bt 60/90W, 1 x port SFP 100/1000Base-Fx, funkcje przełącznika DIP, montaż na szynie DIN / na ścianie, od -40°C do +75°C, 85–264 VAC, podłączenie zaciskowe.")</f>
        <v>Przemysłowy miniaturowy konwerter mediów PoE, 1 x port 10/100/1000Base-T(x) RJ45 z PoE 802.3bt 60/90W, 1 x port SFP 100/1000Base-Fx, funkcje przełącznika DIP, montaż na szynie DIN / na ścianie, od -40°C do +75°C, 85–264 VAC, podłączenie zaciskowe.</v>
      </c>
      <c r="K998" s="43"/>
      <c r="L998" s="44">
        <v>890.0</v>
      </c>
      <c r="M998" s="8"/>
      <c r="N998" s="45" t="s">
        <v>22</v>
      </c>
      <c r="O998" s="97"/>
      <c r="P998" s="11"/>
      <c r="Q998" s="9"/>
      <c r="R998" s="59"/>
      <c r="S998" s="59"/>
      <c r="T998" s="59"/>
      <c r="U998" s="9"/>
      <c r="V998" s="9"/>
      <c r="W998" s="9"/>
      <c r="X998" s="9"/>
      <c r="Y998" s="9"/>
      <c r="Z998" s="9"/>
      <c r="AA998" s="9"/>
      <c r="AB998" s="9"/>
      <c r="AC998" s="60"/>
      <c r="AD998" s="61"/>
      <c r="AE998" s="61"/>
      <c r="AF998" s="61"/>
      <c r="AG998" s="61"/>
      <c r="AH998" s="61"/>
      <c r="AI998" s="61"/>
      <c r="AJ998" s="61"/>
      <c r="AK998" s="61"/>
      <c r="AL998" s="61"/>
      <c r="AM998" s="61"/>
      <c r="AN998" s="61"/>
      <c r="AO998" s="61"/>
      <c r="AP998" s="61"/>
    </row>
    <row r="999" ht="46.5" customHeight="1">
      <c r="A999" s="1"/>
      <c r="B999" s="116" t="s">
        <v>2637</v>
      </c>
      <c r="C999" s="117" t="s">
        <v>2659</v>
      </c>
      <c r="D999" s="118" t="s">
        <v>2660</v>
      </c>
      <c r="E999" s="38"/>
      <c r="F999" s="38"/>
      <c r="G999" s="38"/>
      <c r="H999" s="117" t="s">
        <v>170</v>
      </c>
      <c r="I999" s="119" t="s">
        <v>2661</v>
      </c>
      <c r="J999" s="42" t="str">
        <f>IFERROR(__xludf.DUMMYFUNCTION("GOOGLETRANSLATE(I999,""en"",""pl"")"),"Przemysłowy 1-portowy wtryskiwacz PoE, 1 x port 10/100/1000Base-T(x) RJ45 (wejście), 1 x port 10/100/1000Base-T(x) RJ45 z 802.3bt 60/90 W PoE (wyjście), montaż na szynie DIN / na ścianie, od -40°C do +75°C, wejście zasilania 52-56 V DC (zasilacz nie jest "&amp;"dołączony)")</f>
        <v>Przemysłowy 1-portowy wtryskiwacz PoE, 1 x port 10/100/1000Base-T(x) RJ45 (wejście), 1 x port 10/100/1000Base-T(x) RJ45 z 802.3bt 60/90 W PoE (wyjście), montaż na szynie DIN / na ścianie, od -40°C do +75°C, wejście zasilania 52-56 V DC (zasilacz nie jest dołączony)</v>
      </c>
      <c r="K999" s="43"/>
      <c r="L999" s="44">
        <v>341.0</v>
      </c>
      <c r="M999" s="8"/>
      <c r="N999" s="45" t="s">
        <v>22</v>
      </c>
      <c r="O999" s="97"/>
      <c r="P999" s="11"/>
      <c r="Q999" s="9"/>
      <c r="R999" s="59"/>
      <c r="S999" s="59"/>
      <c r="T999" s="59"/>
      <c r="U999" s="9"/>
      <c r="V999" s="9"/>
      <c r="W999" s="9"/>
      <c r="X999" s="9"/>
      <c r="Y999" s="9"/>
      <c r="Z999" s="9"/>
      <c r="AA999" s="9"/>
      <c r="AB999" s="9"/>
      <c r="AC999" s="60"/>
      <c r="AD999" s="61"/>
      <c r="AE999" s="61"/>
      <c r="AF999" s="61"/>
      <c r="AG999" s="61"/>
      <c r="AH999" s="61"/>
      <c r="AI999" s="61"/>
      <c r="AJ999" s="61"/>
      <c r="AK999" s="61"/>
      <c r="AL999" s="61"/>
      <c r="AM999" s="61"/>
      <c r="AN999" s="61"/>
      <c r="AO999" s="61"/>
      <c r="AP999" s="61"/>
    </row>
    <row r="1000" ht="46.5" customHeight="1">
      <c r="A1000" s="1"/>
      <c r="B1000" s="116" t="s">
        <v>2637</v>
      </c>
      <c r="C1000" s="117" t="s">
        <v>2662</v>
      </c>
      <c r="D1000" s="118" t="s">
        <v>2660</v>
      </c>
      <c r="E1000" s="38"/>
      <c r="F1000" s="38"/>
      <c r="G1000" s="38"/>
      <c r="H1000" s="117" t="s">
        <v>170</v>
      </c>
      <c r="I1000" s="119" t="s">
        <v>2663</v>
      </c>
      <c r="J1000" s="42" t="str">
        <f>IFERROR(__xludf.DUMMYFUNCTION("GOOGLETRANSLATE(I1000,""en"",""pl"")"),"Przemysłowy 1-portowy wtryskiwacz PoE, 1 x port 10/100/1000Base-T(x) RJ45 (wejście), 1 x port 10/100/1000Base-T(x) RJ45 z 802.3bt 90 W PoE (wyjście), montaż na szynie DIN / na ścianie, od -40°C do +75°C, zintegrowany zasilacz 90 W, wejście zasilania sieci"&amp;"owego IEC 85–264 VAC (wbudowany zasilacz)")</f>
        <v>Przemysłowy 1-portowy wtryskiwacz PoE, 1 x port 10/100/1000Base-T(x) RJ45 (wejście), 1 x port 10/100/1000Base-T(x) RJ45 z 802.3bt 90 W PoE (wyjście), montaż na szynie DIN / na ścianie, od -40°C do +75°C, zintegrowany zasilacz 90 W, wejście zasilania sieciowego IEC 85–264 VAC (wbudowany zasilacz)</v>
      </c>
      <c r="K1000" s="43"/>
      <c r="L1000" s="44">
        <v>479.0</v>
      </c>
      <c r="M1000" s="8"/>
      <c r="N1000" s="45" t="s">
        <v>22</v>
      </c>
      <c r="O1000" s="97"/>
      <c r="P1000" s="11"/>
      <c r="Q1000" s="9"/>
      <c r="R1000" s="59"/>
      <c r="S1000" s="59"/>
      <c r="T1000" s="59"/>
      <c r="U1000" s="9"/>
      <c r="V1000" s="9"/>
      <c r="W1000" s="9"/>
      <c r="X1000" s="9"/>
      <c r="Y1000" s="9"/>
      <c r="Z1000" s="9"/>
      <c r="AA1000" s="9"/>
      <c r="AB1000" s="9"/>
      <c r="AC1000" s="60"/>
      <c r="AD1000" s="61"/>
      <c r="AE1000" s="61"/>
      <c r="AF1000" s="61"/>
      <c r="AG1000" s="61"/>
      <c r="AH1000" s="61"/>
      <c r="AI1000" s="61"/>
      <c r="AJ1000" s="61"/>
      <c r="AK1000" s="61"/>
      <c r="AL1000" s="61"/>
      <c r="AM1000" s="61"/>
      <c r="AN1000" s="61"/>
      <c r="AO1000" s="61"/>
      <c r="AP1000" s="61"/>
    </row>
    <row r="1001" ht="46.5" customHeight="1">
      <c r="A1001" s="1"/>
      <c r="B1001" s="118" t="s">
        <v>2664</v>
      </c>
      <c r="C1001" s="117" t="s">
        <v>2665</v>
      </c>
      <c r="D1001" s="118" t="s">
        <v>2664</v>
      </c>
      <c r="E1001" s="38"/>
      <c r="F1001" s="38"/>
      <c r="G1001" s="38"/>
      <c r="H1001" s="117" t="s">
        <v>170</v>
      </c>
      <c r="I1001" s="119" t="s">
        <v>2666</v>
      </c>
      <c r="J1001" s="42" t="str">
        <f>IFERROR(__xludf.DUMMYFUNCTION("GOOGLETRANSLATE(I1001,""en"",""pl"")"),"SFP Miedziany, port RJ45 10/100/1000BASE-T, interfejs SFP 1000BASE-X, 100 m, od -40°C do +85°C")</f>
        <v>SFP Miedziany, port RJ45 10/100/1000BASE-T, interfejs SFP 1000BASE-X, 100 m, od -40°C do +85°C</v>
      </c>
      <c r="K1001" s="43"/>
      <c r="L1001" s="44">
        <v>99.0</v>
      </c>
      <c r="M1001" s="8"/>
      <c r="N1001" s="45" t="s">
        <v>22</v>
      </c>
      <c r="O1001" s="97"/>
      <c r="P1001" s="11"/>
      <c r="Q1001" s="9"/>
      <c r="R1001" s="59"/>
      <c r="S1001" s="59"/>
      <c r="T1001" s="59"/>
      <c r="U1001" s="9"/>
      <c r="V1001" s="9"/>
      <c r="W1001" s="9"/>
      <c r="X1001" s="9"/>
      <c r="Y1001" s="9"/>
      <c r="Z1001" s="9"/>
      <c r="AA1001" s="9"/>
      <c r="AB1001" s="9"/>
      <c r="AC1001" s="60"/>
      <c r="AD1001" s="61"/>
      <c r="AE1001" s="61"/>
      <c r="AF1001" s="61"/>
      <c r="AG1001" s="61"/>
      <c r="AH1001" s="61"/>
      <c r="AI1001" s="61"/>
      <c r="AJ1001" s="61"/>
      <c r="AK1001" s="61"/>
      <c r="AL1001" s="61"/>
      <c r="AM1001" s="61"/>
      <c r="AN1001" s="61"/>
      <c r="AO1001" s="61"/>
      <c r="AP1001" s="61"/>
    </row>
    <row r="1002" ht="46.5" customHeight="1">
      <c r="A1002" s="1"/>
      <c r="B1002" s="118" t="s">
        <v>2627</v>
      </c>
      <c r="C1002" s="117" t="s">
        <v>2667</v>
      </c>
      <c r="D1002" s="118" t="s">
        <v>2627</v>
      </c>
      <c r="E1002" s="38"/>
      <c r="F1002" s="38"/>
      <c r="G1002" s="38"/>
      <c r="H1002" s="117" t="s">
        <v>170</v>
      </c>
      <c r="I1002" s="119" t="s">
        <v>2668</v>
      </c>
      <c r="J1002" s="42" t="str">
        <f>IFERROR(__xludf.DUMMYFUNCTION("GOOGLETRANSLATE(I1002,""en"",""pl"")"),"SFP wielomodowy, 1 Gb, 2 włókna, 2 km, złącza LC, 1310 nm Tx/Rx, od -40°C do +85°C, DDM")</f>
        <v>SFP wielomodowy, 1 Gb, 2 włókna, 2 km, złącza LC, 1310 nm Tx/Rx, od -40°C do +85°C, DDM</v>
      </c>
      <c r="K1002" s="43"/>
      <c r="L1002" s="44">
        <v>79.0</v>
      </c>
      <c r="M1002" s="8"/>
      <c r="N1002" s="45" t="s">
        <v>22</v>
      </c>
      <c r="O1002" s="97"/>
      <c r="P1002" s="11"/>
      <c r="Q1002" s="9"/>
      <c r="R1002" s="59"/>
      <c r="S1002" s="59"/>
      <c r="T1002" s="59"/>
      <c r="U1002" s="9"/>
      <c r="V1002" s="9"/>
      <c r="W1002" s="9"/>
      <c r="X1002" s="9"/>
      <c r="Y1002" s="9"/>
      <c r="Z1002" s="9"/>
      <c r="AA1002" s="9"/>
      <c r="AB1002" s="9"/>
      <c r="AC1002" s="60"/>
      <c r="AD1002" s="61"/>
      <c r="AE1002" s="61"/>
      <c r="AF1002" s="61"/>
      <c r="AG1002" s="61"/>
      <c r="AH1002" s="61"/>
      <c r="AI1002" s="61"/>
      <c r="AJ1002" s="61"/>
      <c r="AK1002" s="61"/>
      <c r="AL1002" s="61"/>
      <c r="AM1002" s="61"/>
      <c r="AN1002" s="61"/>
      <c r="AO1002" s="61"/>
      <c r="AP1002" s="61"/>
    </row>
    <row r="1003" ht="46.5" customHeight="1">
      <c r="A1003" s="1"/>
      <c r="B1003" s="118" t="s">
        <v>2632</v>
      </c>
      <c r="C1003" s="117" t="s">
        <v>2669</v>
      </c>
      <c r="D1003" s="118" t="s">
        <v>2632</v>
      </c>
      <c r="E1003" s="38"/>
      <c r="F1003" s="38"/>
      <c r="G1003" s="38"/>
      <c r="H1003" s="117" t="s">
        <v>170</v>
      </c>
      <c r="I1003" s="119" t="s">
        <v>2670</v>
      </c>
      <c r="J1003" s="42" t="str">
        <f>IFERROR(__xludf.DUMMYFUNCTION("GOOGLETRANSLATE(I1003,""en"",""pl"")"),"SFP jednomodowy, 1 Gb, 2 włókna, 20 km, złącza LC, 1310 nm Tx/Rx, od -40°C do +85°C, DDM")</f>
        <v>SFP jednomodowy, 1 Gb, 2 włókna, 20 km, złącza LC, 1310 nm Tx/Rx, od -40°C do +85°C, DDM</v>
      </c>
      <c r="K1003" s="43"/>
      <c r="L1003" s="44">
        <v>79.0</v>
      </c>
      <c r="M1003" s="8"/>
      <c r="N1003" s="45" t="s">
        <v>22</v>
      </c>
      <c r="O1003" s="97"/>
      <c r="P1003" s="11"/>
      <c r="Q1003" s="9"/>
      <c r="R1003" s="59"/>
      <c r="S1003" s="59"/>
      <c r="T1003" s="59"/>
      <c r="U1003" s="9"/>
      <c r="V1003" s="9"/>
      <c r="W1003" s="9"/>
      <c r="X1003" s="9"/>
      <c r="Y1003" s="9"/>
      <c r="Z1003" s="9"/>
      <c r="AA1003" s="9"/>
      <c r="AB1003" s="9"/>
      <c r="AC1003" s="60"/>
      <c r="AD1003" s="61"/>
      <c r="AE1003" s="61"/>
      <c r="AF1003" s="61"/>
      <c r="AG1003" s="61"/>
      <c r="AH1003" s="61"/>
      <c r="AI1003" s="61"/>
      <c r="AJ1003" s="61"/>
      <c r="AK1003" s="61"/>
      <c r="AL1003" s="61"/>
      <c r="AM1003" s="61"/>
      <c r="AN1003" s="61"/>
      <c r="AO1003" s="61"/>
      <c r="AP1003" s="61"/>
    </row>
    <row r="1004" ht="46.5" customHeight="1">
      <c r="A1004" s="1"/>
      <c r="B1004" s="116" t="s">
        <v>2620</v>
      </c>
      <c r="C1004" s="117" t="s">
        <v>2671</v>
      </c>
      <c r="D1004" s="118" t="s">
        <v>2672</v>
      </c>
      <c r="E1004" s="38"/>
      <c r="F1004" s="38"/>
      <c r="G1004" s="38"/>
      <c r="H1004" s="117" t="s">
        <v>170</v>
      </c>
      <c r="I1004" s="119" t="s">
        <v>2673</v>
      </c>
      <c r="J1004" s="42" t="str">
        <f>IFERROR(__xludf.DUMMYFUNCTION("GOOGLETRANSLATE(I1004,""en"",""pl"")"),"Zasilacz przemysłowy 48 V DC, 120 W (2,5 A), montaż na szynie DIN, od -40°C do +70°C,
Wyjście przekaźnika błędu (regulowane 47-53 V DC)")</f>
        <v>Zasilacz przemysłowy 48 V DC, 120 W (2,5 A), montaż na szynie DIN, od -40°C do +70°C,
Wyjście przekaźnika błędu (regulowane 47-53 V DC)</v>
      </c>
      <c r="K1004" s="43"/>
      <c r="L1004" s="44">
        <v>142.0</v>
      </c>
      <c r="M1004" s="8"/>
      <c r="N1004" s="45" t="s">
        <v>22</v>
      </c>
      <c r="O1004" s="97"/>
      <c r="P1004" s="11"/>
      <c r="Q1004" s="9"/>
      <c r="R1004" s="59"/>
      <c r="S1004" s="59"/>
      <c r="T1004" s="59"/>
      <c r="U1004" s="9"/>
      <c r="V1004" s="9"/>
      <c r="W1004" s="9"/>
      <c r="X1004" s="9"/>
      <c r="Y1004" s="9"/>
      <c r="Z1004" s="9"/>
      <c r="AA1004" s="9"/>
      <c r="AB1004" s="9"/>
      <c r="AC1004" s="60"/>
      <c r="AD1004" s="61"/>
      <c r="AE1004" s="61"/>
      <c r="AF1004" s="61"/>
      <c r="AG1004" s="61"/>
      <c r="AH1004" s="61"/>
      <c r="AI1004" s="61"/>
      <c r="AJ1004" s="61"/>
      <c r="AK1004" s="61"/>
      <c r="AL1004" s="61"/>
      <c r="AM1004" s="61"/>
      <c r="AN1004" s="61"/>
      <c r="AO1004" s="61"/>
      <c r="AP1004" s="61"/>
    </row>
    <row r="1005" ht="30.0" customHeight="1">
      <c r="A1005" s="1"/>
      <c r="B1005" s="129" t="s">
        <v>2674</v>
      </c>
      <c r="C1005" s="113"/>
      <c r="D1005" s="113"/>
      <c r="E1005" s="144"/>
      <c r="F1005" s="144"/>
      <c r="G1005" s="144"/>
      <c r="H1005" s="94"/>
      <c r="I1005" s="113"/>
      <c r="J1005" s="42" t="str">
        <f>IFERROR(__xludf.DUMMYFUNCTION("GOOGLETRANSLATE(I1005,""en"",""pl"")"),"#VALUE!")</f>
        <v>#VALUE!</v>
      </c>
      <c r="K1005" s="144"/>
      <c r="L1005" s="114"/>
      <c r="M1005" s="115"/>
      <c r="N1005" s="96"/>
      <c r="O1005" s="146"/>
      <c r="P1005" s="11"/>
      <c r="Q1005" s="9"/>
      <c r="R1005" s="59"/>
      <c r="S1005" s="59"/>
      <c r="T1005" s="59"/>
      <c r="U1005" s="9"/>
      <c r="V1005" s="9"/>
      <c r="W1005" s="9"/>
      <c r="X1005" s="9"/>
      <c r="Y1005" s="9"/>
      <c r="Z1005" s="9"/>
      <c r="AA1005" s="9"/>
      <c r="AB1005" s="9"/>
      <c r="AC1005" s="60"/>
      <c r="AD1005" s="61"/>
      <c r="AE1005" s="61"/>
      <c r="AF1005" s="61"/>
      <c r="AG1005" s="61"/>
      <c r="AH1005" s="61"/>
      <c r="AI1005" s="61"/>
      <c r="AJ1005" s="61"/>
      <c r="AK1005" s="61"/>
      <c r="AL1005" s="61"/>
      <c r="AM1005" s="61"/>
      <c r="AN1005" s="61"/>
      <c r="AO1005" s="61"/>
      <c r="AP1005" s="61"/>
    </row>
    <row r="1006" ht="114.0" customHeight="1">
      <c r="A1006" s="1"/>
      <c r="B1006" s="116" t="s">
        <v>2675</v>
      </c>
      <c r="C1006" s="117" t="s">
        <v>2676</v>
      </c>
      <c r="D1006" s="118" t="s">
        <v>2677</v>
      </c>
      <c r="E1006" s="38"/>
      <c r="F1006" s="38"/>
      <c r="G1006" s="38"/>
      <c r="H1006" s="117"/>
      <c r="I1006" s="119" t="s">
        <v>2678</v>
      </c>
      <c r="J1006" s="42" t="str">
        <f>IFERROR(__xludf.DUMMYFUNCTION("GOOGLETRANSLATE(I1006,""en"",""pl"")"),"Duża, uniwersalna obudowa Hanwha została zaprojektowana z myślą o szerokiej gamie urządzeń bezpieczeństwa, kontroli dostępu, automatyki przemysłowej i sieciowych innych producentów. Tylna, siatkowa ścianka tylna umożliwia elastyczne rozmieszczenie sprzętu"&amp;", umożliwiając montaż bezpośredni lub na szynie DIN, co zmniejsza ograniczenia instalacyjne.
Obudowa posiada zdejmowane drzwi z zamkiem na klucz, zapewniające bezpieczny dostęp podczas instalacji i konserwacji, a także przednie i tylne wyłączniki antysabo"&amp;"tażowe dla dodatkowego bezpieczeństwa. Zasilacz impulsowy 90-264 V AC, 50/60 Hz o prądzie znamionowym 5 A, zapewniający wyjście ładowania akumulatora 13,8 V, 500 mA, obsługuje akumulator 12 V 17 Ah jako zasilanie awaryjne. 12 śrub do montażu modułów kontr"&amp;"oli dostępu Hanwha Wisenet. Wymiary: wys. 520 mm × szer. 418 mm × gł. 105 mm")</f>
        <v>Duża, uniwersalna obudowa Hanwha została zaprojektowana z myślą o szerokiej gamie urządzeń bezpieczeństwa, kontroli dostępu, automatyki przemysłowej i sieciowych innych producentów. Tylna, siatkowa ścianka tylna umożliwia elastyczne rozmieszczenie sprzętu, umożliwiając montaż bezpośredni lub na szynie DIN, co zmniejsza ograniczenia instalacyjne.
Obudowa posiada zdejmowane drzwi z zamkiem na klucz, zapewniające bezpieczny dostęp podczas instalacji i konserwacji, a także przednie i tylne wyłączniki antysabotażowe dla dodatkowego bezpieczeństwa. Zasilacz impulsowy 90-264 V AC, 50/60 Hz o prądzie znamionowym 5 A, zapewniający wyjście ładowania akumulatora 13,8 V, 500 mA, obsługuje akumulator 12 V 17 Ah jako zasilanie awaryjne. 12 śrub do montażu modułów kontroli dostępu Hanwha Wisenet. Wymiary: wys. 520 mm × szer. 418 mm × gł. 105 mm</v>
      </c>
      <c r="K1006" s="43"/>
      <c r="L1006" s="44">
        <v>408.0</v>
      </c>
      <c r="M1006" s="8"/>
      <c r="N1006" s="45" t="s">
        <v>22</v>
      </c>
      <c r="O1006" s="97"/>
      <c r="P1006" s="11"/>
      <c r="Q1006" s="9"/>
      <c r="R1006" s="59"/>
      <c r="S1006" s="59"/>
      <c r="T1006" s="59"/>
      <c r="U1006" s="9"/>
      <c r="V1006" s="9"/>
      <c r="W1006" s="9"/>
      <c r="X1006" s="9"/>
      <c r="Y1006" s="9"/>
      <c r="Z1006" s="9"/>
      <c r="AA1006" s="9"/>
      <c r="AB1006" s="9"/>
      <c r="AC1006" s="60"/>
      <c r="AD1006" s="61"/>
      <c r="AE1006" s="61"/>
      <c r="AF1006" s="61"/>
      <c r="AG1006" s="61"/>
      <c r="AH1006" s="61"/>
      <c r="AI1006" s="61"/>
      <c r="AJ1006" s="61"/>
      <c r="AK1006" s="61"/>
      <c r="AL1006" s="61"/>
      <c r="AM1006" s="61"/>
      <c r="AN1006" s="61"/>
      <c r="AO1006" s="61"/>
      <c r="AP1006" s="61"/>
    </row>
    <row r="1007" ht="111.0" customHeight="1">
      <c r="A1007" s="1"/>
      <c r="B1007" s="116" t="s">
        <v>2675</v>
      </c>
      <c r="C1007" s="117" t="s">
        <v>2679</v>
      </c>
      <c r="D1007" s="118" t="s">
        <v>2680</v>
      </c>
      <c r="E1007" s="38"/>
      <c r="F1007" s="38"/>
      <c r="G1007" s="38"/>
      <c r="H1007" s="117"/>
      <c r="I1007" s="119" t="s">
        <v>2681</v>
      </c>
      <c r="J1007" s="42" t="str">
        <f>IFERROR(__xludf.DUMMYFUNCTION("GOOGLETRANSLATE(I1007,""en"",""pl"")"),"Średnia uniwersalna obudowa Hanwha została zaprojektowana z myślą o szerokiej gamie urządzeń bezpieczeństwa, kontroli dostępu, automatyki przemysłowej i sieciowych innych producentów. Tylna siatka umożliwia elastyczne rozmieszczenie sprzętu, umożliwiając "&amp;"montaż bezpośredni lub na szynie DIN, co zmniejsza ograniczenia instalacyjne. Obudowa posiada zdejmowane drzwi z zamkiem na klucz, zapewniające bezpieczny dostęp podczas instalacji i konserwacji, a także przednie i tylne wyłączniki antysabotażowe dla doda"&amp;"tkowego bezpieczeństwa. Zasilacz PoE/PoE+/PoE++ (o znamionowym natężeniu prądu PoE 300 mA, PoE+ 1 A i PoE++ 3 A) dostarcza napięcie wyjściowe ładowania akumulatora 13,8 V, 500 mA, obsługując akumulator 12 V 17 Ah jako zasilanie awaryjne. 4 śruby mocujące "&amp;"moduł kontroli dostępu Hanwha Wisenet. Wymiary: wys. 350 mm x szer. 398 mm x gł. 103 mm.")</f>
        <v>Średnia uniwersalna obudowa Hanwha została zaprojektowana z myślą o szerokiej gamie urządzeń bezpieczeństwa, kontroli dostępu, automatyki przemysłowej i sieciowych innych producentów. Tylna siatka umożliwia elastyczne rozmieszczenie sprzętu, umożliwiając montaż bezpośredni lub na szynie DIN, co zmniejsza ograniczenia instalacyjne. Obudowa posiada zdejmowane drzwi z zamkiem na klucz, zapewniające bezpieczny dostęp podczas instalacji i konserwacji, a także przednie i tylne wyłączniki antysabotażowe dla dodatkowego bezpieczeństwa. Zasilacz PoE/PoE+/PoE++ (o znamionowym natężeniu prądu PoE 300 mA, PoE+ 1 A i PoE++ 3 A) dostarcza napięcie wyjściowe ładowania akumulatora 13,8 V, 500 mA, obsługując akumulator 12 V 17 Ah jako zasilanie awaryjne. 4 śruby mocujące moduł kontroli dostępu Hanwha Wisenet. Wymiary: wys. 350 mm x szer. 398 mm x gł. 103 mm.</v>
      </c>
      <c r="K1007" s="43"/>
      <c r="L1007" s="44">
        <v>354.0</v>
      </c>
      <c r="M1007" s="8"/>
      <c r="N1007" s="45" t="s">
        <v>22</v>
      </c>
      <c r="O1007" s="97"/>
      <c r="P1007" s="11"/>
      <c r="Q1007" s="9"/>
      <c r="R1007" s="59"/>
      <c r="S1007" s="59"/>
      <c r="T1007" s="59"/>
      <c r="U1007" s="9"/>
      <c r="V1007" s="9"/>
      <c r="W1007" s="9"/>
      <c r="X1007" s="9"/>
      <c r="Y1007" s="9"/>
      <c r="Z1007" s="9"/>
      <c r="AA1007" s="9"/>
      <c r="AB1007" s="9"/>
      <c r="AC1007" s="60"/>
      <c r="AD1007" s="61"/>
      <c r="AE1007" s="61"/>
      <c r="AF1007" s="61"/>
      <c r="AG1007" s="61"/>
      <c r="AH1007" s="61"/>
      <c r="AI1007" s="61"/>
      <c r="AJ1007" s="61"/>
      <c r="AK1007" s="61"/>
      <c r="AL1007" s="61"/>
      <c r="AM1007" s="61"/>
      <c r="AN1007" s="61"/>
      <c r="AO1007" s="61"/>
      <c r="AP1007" s="61"/>
    </row>
    <row r="1008" ht="46.5" customHeight="1">
      <c r="A1008" s="1"/>
      <c r="B1008" s="116" t="s">
        <v>2675</v>
      </c>
      <c r="C1008" s="117" t="s">
        <v>2682</v>
      </c>
      <c r="D1008" s="118" t="s">
        <v>2683</v>
      </c>
      <c r="E1008" s="38"/>
      <c r="F1008" s="38"/>
      <c r="G1008" s="38"/>
      <c r="H1008" s="117"/>
      <c r="I1008" s="119" t="s">
        <v>2684</v>
      </c>
      <c r="J1008" s="42" t="str">
        <f>IFERROR(__xludf.DUMMYFUNCTION("GOOGLETRANSLATE(I1008,""en"",""pl"")"),"Opcjonalny zapasowy klucz do szafki uniwersalnej Hanwha średniej i dużej.")</f>
        <v>Opcjonalny zapasowy klucz do szafki uniwersalnej Hanwha średniej i dużej.</v>
      </c>
      <c r="K1008" s="43"/>
      <c r="L1008" s="44">
        <v>6.0</v>
      </c>
      <c r="M1008" s="8"/>
      <c r="N1008" s="45" t="s">
        <v>22</v>
      </c>
      <c r="O1008" s="97"/>
      <c r="P1008" s="11"/>
      <c r="Q1008" s="9"/>
      <c r="R1008" s="59"/>
      <c r="S1008" s="59"/>
      <c r="T1008" s="59"/>
      <c r="U1008" s="9"/>
      <c r="V1008" s="9"/>
      <c r="W1008" s="9"/>
      <c r="X1008" s="9"/>
      <c r="Y1008" s="9"/>
      <c r="Z1008" s="9"/>
      <c r="AA1008" s="9"/>
      <c r="AB1008" s="9"/>
      <c r="AC1008" s="60"/>
      <c r="AD1008" s="61"/>
      <c r="AE1008" s="61"/>
      <c r="AF1008" s="61"/>
      <c r="AG1008" s="61"/>
      <c r="AH1008" s="61"/>
      <c r="AI1008" s="61"/>
      <c r="AJ1008" s="61"/>
      <c r="AK1008" s="61"/>
      <c r="AL1008" s="61"/>
      <c r="AM1008" s="61"/>
      <c r="AN1008" s="61"/>
      <c r="AO1008" s="61"/>
      <c r="AP1008" s="61"/>
    </row>
    <row r="1009" ht="30.0" customHeight="1">
      <c r="A1009" s="1"/>
      <c r="B1009" s="129" t="s">
        <v>2685</v>
      </c>
      <c r="C1009" s="113"/>
      <c r="D1009" s="113"/>
      <c r="E1009" s="144"/>
      <c r="F1009" s="144"/>
      <c r="G1009" s="144"/>
      <c r="H1009" s="94"/>
      <c r="I1009" s="113"/>
      <c r="J1009" s="42" t="str">
        <f>IFERROR(__xludf.DUMMYFUNCTION("GOOGLETRANSLATE(I1009,""en"",""pl"")"),"#VALUE!")</f>
        <v>#VALUE!</v>
      </c>
      <c r="K1009" s="144"/>
      <c r="L1009" s="114"/>
      <c r="M1009" s="115"/>
      <c r="N1009" s="96"/>
      <c r="O1009" s="146"/>
      <c r="P1009" s="11"/>
      <c r="Q1009" s="9"/>
      <c r="R1009" s="59"/>
      <c r="S1009" s="59"/>
      <c r="T1009" s="59"/>
      <c r="U1009" s="9"/>
      <c r="V1009" s="9"/>
      <c r="W1009" s="9"/>
      <c r="X1009" s="9"/>
      <c r="Y1009" s="9"/>
      <c r="Z1009" s="9"/>
      <c r="AA1009" s="9"/>
      <c r="AB1009" s="9"/>
      <c r="AC1009" s="60"/>
      <c r="AD1009" s="61"/>
      <c r="AE1009" s="61"/>
      <c r="AF1009" s="61"/>
      <c r="AG1009" s="61"/>
      <c r="AH1009" s="61"/>
      <c r="AI1009" s="61"/>
      <c r="AJ1009" s="61"/>
      <c r="AK1009" s="61"/>
      <c r="AL1009" s="61"/>
      <c r="AM1009" s="61"/>
      <c r="AN1009" s="61"/>
      <c r="AO1009" s="61"/>
      <c r="AP1009" s="61"/>
    </row>
    <row r="1010" ht="46.5" customHeight="1">
      <c r="A1010" s="1"/>
      <c r="B1010" s="38" t="s">
        <v>26</v>
      </c>
      <c r="C1010" s="39" t="s">
        <v>2686</v>
      </c>
      <c r="D1010" s="116" t="s">
        <v>2687</v>
      </c>
      <c r="E1010" s="38"/>
      <c r="F1010" s="38"/>
      <c r="G1010" s="38"/>
      <c r="H1010" s="117" t="s">
        <v>170</v>
      </c>
      <c r="I1010" s="159" t="s">
        <v>2688</v>
      </c>
      <c r="J1010" s="42" t="str">
        <f>IFERROR(__xludf.DUMMYFUNCTION("GOOGLETRANSLATE(I1010,""en"",""pl"")"),"Obiektyw 2 MP, 1/3"", zmiennoogniskowy (5-50 mm), automatyczna przysłona DC, mocowanie CS, TAMRON")</f>
        <v>Obiektyw 2 MP, 1/3", zmiennoogniskowy (5-50 mm), automatyczna przysłona DC, mocowanie CS, TAMRON</v>
      </c>
      <c r="K1010" s="38"/>
      <c r="L1010" s="44">
        <v>280.0</v>
      </c>
      <c r="M1010" s="8"/>
      <c r="N1010" s="45" t="s">
        <v>22</v>
      </c>
      <c r="O1010" s="97"/>
      <c r="P1010" s="11"/>
      <c r="Q1010" s="9"/>
      <c r="R1010" s="59"/>
      <c r="S1010" s="59"/>
      <c r="T1010" s="59"/>
      <c r="U1010" s="9"/>
      <c r="V1010" s="9"/>
      <c r="W1010" s="9"/>
      <c r="X1010" s="9"/>
      <c r="Y1010" s="9"/>
      <c r="Z1010" s="9"/>
      <c r="AA1010" s="9"/>
      <c r="AB1010" s="9"/>
      <c r="AC1010" s="60"/>
      <c r="AD1010" s="61"/>
      <c r="AE1010" s="61"/>
      <c r="AF1010" s="61"/>
      <c r="AG1010" s="61"/>
      <c r="AH1010" s="61"/>
      <c r="AI1010" s="61"/>
      <c r="AJ1010" s="61"/>
      <c r="AK1010" s="61"/>
      <c r="AL1010" s="61"/>
      <c r="AM1010" s="61"/>
      <c r="AN1010" s="61"/>
      <c r="AO1010" s="61"/>
      <c r="AP1010" s="61"/>
    </row>
    <row r="1011" ht="46.5" customHeight="1">
      <c r="A1011" s="1"/>
      <c r="B1011" s="38" t="s">
        <v>26</v>
      </c>
      <c r="C1011" s="39" t="s">
        <v>2689</v>
      </c>
      <c r="D1011" s="116" t="s">
        <v>2690</v>
      </c>
      <c r="E1011" s="38"/>
      <c r="F1011" s="38"/>
      <c r="G1011" s="38"/>
      <c r="H1011" s="117" t="s">
        <v>170</v>
      </c>
      <c r="I1011" s="159" t="s">
        <v>2691</v>
      </c>
      <c r="J1011" s="42" t="str">
        <f>IFERROR(__xludf.DUMMYFUNCTION("GOOGLETRANSLATE(I1011,""en"",""pl"")"),"Obiektyw 3 MP, 1/2,7"", zmiennoogniskowy (2,7–13 mm), automatyczna przysłona DC, mocowanie CS, TAMRON")</f>
        <v>Obiektyw 3 MP, 1/2,7", zmiennoogniskowy (2,7–13 mm), automatyczna przysłona DC, mocowanie CS, TAMRON</v>
      </c>
      <c r="K1011" s="38"/>
      <c r="L1011" s="44">
        <v>180.0</v>
      </c>
      <c r="M1011" s="8"/>
      <c r="N1011" s="45" t="s">
        <v>22</v>
      </c>
      <c r="O1011" s="97"/>
      <c r="P1011" s="11"/>
      <c r="Q1011" s="9"/>
      <c r="R1011" s="59"/>
      <c r="S1011" s="59"/>
      <c r="T1011" s="59"/>
      <c r="U1011" s="9"/>
      <c r="V1011" s="9"/>
      <c r="W1011" s="9"/>
      <c r="X1011" s="9"/>
      <c r="Y1011" s="9"/>
      <c r="Z1011" s="9"/>
      <c r="AA1011" s="9"/>
      <c r="AB1011" s="9"/>
      <c r="AC1011" s="60"/>
      <c r="AD1011" s="61"/>
      <c r="AE1011" s="61"/>
      <c r="AF1011" s="61"/>
      <c r="AG1011" s="61"/>
      <c r="AH1011" s="61"/>
      <c r="AI1011" s="61"/>
      <c r="AJ1011" s="61"/>
      <c r="AK1011" s="61"/>
      <c r="AL1011" s="61"/>
      <c r="AM1011" s="61"/>
      <c r="AN1011" s="61"/>
      <c r="AO1011" s="61"/>
      <c r="AP1011" s="61"/>
    </row>
    <row r="1012" ht="46.5" customHeight="1">
      <c r="A1012" s="1"/>
      <c r="B1012" s="38" t="s">
        <v>26</v>
      </c>
      <c r="C1012" s="39" t="s">
        <v>2692</v>
      </c>
      <c r="D1012" s="116" t="s">
        <v>2690</v>
      </c>
      <c r="E1012" s="38"/>
      <c r="F1012" s="38"/>
      <c r="G1012" s="38"/>
      <c r="H1012" s="117" t="s">
        <v>170</v>
      </c>
      <c r="I1012" s="159" t="s">
        <v>2693</v>
      </c>
      <c r="J1012" s="42" t="str">
        <f>IFERROR(__xludf.DUMMYFUNCTION("GOOGLETRANSLATE(I1012,""en"",""pl"")"),"Obiektyw 3 MP, 1/2,7"", zmiennoogniskowy (2,8-8 mm), automatyczna przysłona DC, mocowanie CS, TAMRON")</f>
        <v>Obiektyw 3 MP, 1/2,7", zmiennoogniskowy (2,8-8 mm), automatyczna przysłona DC, mocowanie CS, TAMRON</v>
      </c>
      <c r="K1012" s="38"/>
      <c r="L1012" s="44">
        <v>210.0</v>
      </c>
      <c r="M1012" s="8"/>
      <c r="N1012" s="45" t="s">
        <v>22</v>
      </c>
      <c r="O1012" s="97"/>
      <c r="P1012" s="11"/>
      <c r="Q1012" s="9"/>
      <c r="R1012" s="59"/>
      <c r="S1012" s="59"/>
      <c r="T1012" s="59"/>
      <c r="U1012" s="9"/>
      <c r="V1012" s="9"/>
      <c r="W1012" s="9"/>
      <c r="X1012" s="9"/>
      <c r="Y1012" s="9"/>
      <c r="Z1012" s="9"/>
      <c r="AA1012" s="9"/>
      <c r="AB1012" s="9"/>
      <c r="AC1012" s="60"/>
      <c r="AD1012" s="61"/>
      <c r="AE1012" s="61"/>
      <c r="AF1012" s="61"/>
      <c r="AG1012" s="61"/>
      <c r="AH1012" s="61"/>
      <c r="AI1012" s="61"/>
      <c r="AJ1012" s="61"/>
      <c r="AK1012" s="61"/>
      <c r="AL1012" s="61"/>
      <c r="AM1012" s="61"/>
      <c r="AN1012" s="61"/>
      <c r="AO1012" s="61"/>
      <c r="AP1012" s="61"/>
    </row>
    <row r="1013" ht="46.5" customHeight="1">
      <c r="A1013" s="1"/>
      <c r="B1013" s="38" t="s">
        <v>26</v>
      </c>
      <c r="C1013" s="39" t="s">
        <v>2694</v>
      </c>
      <c r="D1013" s="116" t="s">
        <v>2690</v>
      </c>
      <c r="E1013" s="38"/>
      <c r="F1013" s="38"/>
      <c r="G1013" s="38"/>
      <c r="H1013" s="117" t="s">
        <v>170</v>
      </c>
      <c r="I1013" s="159" t="s">
        <v>2695</v>
      </c>
      <c r="J1013" s="42" t="str">
        <f>IFERROR(__xludf.DUMMYFUNCTION("GOOGLETRANSLATE(I1013,""en"",""pl"")"),"Obiektyw 3 MP, 1/2,7"", zmiennoogniskowy (8-50 mm), automatyczna przysłona DC, mocowanie CS, TAMRON")</f>
        <v>Obiektyw 3 MP, 1/2,7", zmiennoogniskowy (8-50 mm), automatyczna przysłona DC, mocowanie CS, TAMRON</v>
      </c>
      <c r="K1013" s="38"/>
      <c r="L1013" s="44">
        <v>360.0</v>
      </c>
      <c r="M1013" s="8"/>
      <c r="N1013" s="45" t="s">
        <v>22</v>
      </c>
      <c r="O1013" s="97"/>
      <c r="P1013" s="11"/>
      <c r="Q1013" s="9"/>
      <c r="R1013" s="59"/>
      <c r="S1013" s="59"/>
      <c r="T1013" s="59"/>
      <c r="U1013" s="9"/>
      <c r="V1013" s="9"/>
      <c r="W1013" s="9"/>
      <c r="X1013" s="9"/>
      <c r="Y1013" s="9"/>
      <c r="Z1013" s="9"/>
      <c r="AA1013" s="9"/>
      <c r="AB1013" s="9"/>
      <c r="AC1013" s="60"/>
      <c r="AD1013" s="61"/>
      <c r="AE1013" s="61"/>
      <c r="AF1013" s="61"/>
      <c r="AG1013" s="61"/>
      <c r="AH1013" s="61"/>
      <c r="AI1013" s="61"/>
      <c r="AJ1013" s="61"/>
      <c r="AK1013" s="61"/>
      <c r="AL1013" s="61"/>
      <c r="AM1013" s="61"/>
      <c r="AN1013" s="61"/>
      <c r="AO1013" s="61"/>
      <c r="AP1013" s="61"/>
    </row>
    <row r="1014" ht="46.5" customHeight="1">
      <c r="A1014" s="1"/>
      <c r="B1014" s="38" t="s">
        <v>26</v>
      </c>
      <c r="C1014" s="39" t="s">
        <v>2696</v>
      </c>
      <c r="D1014" s="116" t="s">
        <v>2697</v>
      </c>
      <c r="E1014" s="38"/>
      <c r="F1014" s="38"/>
      <c r="G1014" s="38"/>
      <c r="H1014" s="117" t="s">
        <v>170</v>
      </c>
      <c r="I1014" s="159" t="s">
        <v>2698</v>
      </c>
      <c r="J1014" s="42" t="str">
        <f>IFERROR(__xludf.DUMMYFUNCTION("GOOGLETRANSLATE(I1014,""en"",""pl"")"),"Obiektyw 5 MP, 1/1,8"", zmiennoogniskowy (12-50 mm), automatyczna przysłona DC, mocowanie CS, TAMRON")</f>
        <v>Obiektyw 5 MP, 1/1,8", zmiennoogniskowy (12-50 mm), automatyczna przysłona DC, mocowanie CS, TAMRON</v>
      </c>
      <c r="K1014" s="38"/>
      <c r="L1014" s="44">
        <v>360.0</v>
      </c>
      <c r="M1014" s="8"/>
      <c r="N1014" s="45" t="s">
        <v>22</v>
      </c>
      <c r="O1014" s="97"/>
      <c r="P1014" s="11"/>
      <c r="Q1014" s="9"/>
      <c r="R1014" s="59"/>
      <c r="S1014" s="59"/>
      <c r="T1014" s="59"/>
      <c r="U1014" s="9"/>
      <c r="V1014" s="9"/>
      <c r="W1014" s="9"/>
      <c r="X1014" s="9"/>
      <c r="Y1014" s="9"/>
      <c r="Z1014" s="9"/>
      <c r="AA1014" s="9"/>
      <c r="AB1014" s="9"/>
      <c r="AC1014" s="60"/>
      <c r="AD1014" s="61"/>
      <c r="AE1014" s="61"/>
      <c r="AF1014" s="61"/>
      <c r="AG1014" s="61"/>
      <c r="AH1014" s="61"/>
      <c r="AI1014" s="61"/>
      <c r="AJ1014" s="61"/>
      <c r="AK1014" s="61"/>
      <c r="AL1014" s="61"/>
      <c r="AM1014" s="61"/>
      <c r="AN1014" s="61"/>
      <c r="AO1014" s="61"/>
      <c r="AP1014" s="61"/>
    </row>
    <row r="1015" ht="46.5" customHeight="1">
      <c r="A1015" s="1"/>
      <c r="B1015" s="38" t="s">
        <v>26</v>
      </c>
      <c r="C1015" s="39" t="s">
        <v>2699</v>
      </c>
      <c r="D1015" s="116" t="s">
        <v>2700</v>
      </c>
      <c r="E1015" s="38"/>
      <c r="F1015" s="38"/>
      <c r="G1015" s="38"/>
      <c r="H1015" s="117" t="s">
        <v>170</v>
      </c>
      <c r="I1015" s="159" t="s">
        <v>2701</v>
      </c>
      <c r="J1015" s="42" t="str">
        <f>IFERROR(__xludf.DUMMYFUNCTION("GOOGLETRANSLATE(I1015,""en"",""pl"")"),"Obiektyw 8 MP, 1/1,7"", zmiennoogniskowy (3,8–17 mm), automatyczna przysłona DC, mocowanie CS, TAMRON")</f>
        <v>Obiektyw 8 MP, 1/1,7", zmiennoogniskowy (3,8–17 mm), automatyczna przysłona DC, mocowanie CS, TAMRON</v>
      </c>
      <c r="K1015" s="38"/>
      <c r="L1015" s="44">
        <v>300.0</v>
      </c>
      <c r="M1015" s="8"/>
      <c r="N1015" s="45" t="s">
        <v>22</v>
      </c>
      <c r="O1015" s="97"/>
      <c r="P1015" s="11"/>
      <c r="Q1015" s="9"/>
      <c r="R1015" s="59"/>
      <c r="S1015" s="59"/>
      <c r="T1015" s="59"/>
      <c r="U1015" s="9"/>
      <c r="V1015" s="9"/>
      <c r="W1015" s="9"/>
      <c r="X1015" s="9"/>
      <c r="Y1015" s="9"/>
      <c r="Z1015" s="9"/>
      <c r="AA1015" s="9"/>
      <c r="AB1015" s="9"/>
      <c r="AC1015" s="60"/>
      <c r="AD1015" s="61"/>
      <c r="AE1015" s="61"/>
      <c r="AF1015" s="61"/>
      <c r="AG1015" s="61"/>
      <c r="AH1015" s="61"/>
      <c r="AI1015" s="61"/>
      <c r="AJ1015" s="61"/>
      <c r="AK1015" s="61"/>
      <c r="AL1015" s="61"/>
      <c r="AM1015" s="61"/>
      <c r="AN1015" s="61"/>
      <c r="AO1015" s="61"/>
      <c r="AP1015" s="61"/>
    </row>
    <row r="1016" ht="46.5" customHeight="1">
      <c r="A1016" s="1"/>
      <c r="B1016" s="38" t="s">
        <v>26</v>
      </c>
      <c r="C1016" s="39" t="s">
        <v>2702</v>
      </c>
      <c r="D1016" s="116" t="s">
        <v>2703</v>
      </c>
      <c r="E1016" s="38"/>
      <c r="F1016" s="38"/>
      <c r="G1016" s="38"/>
      <c r="H1016" s="117" t="s">
        <v>170</v>
      </c>
      <c r="I1016" s="159" t="s">
        <v>2704</v>
      </c>
      <c r="J1016" s="42" t="str">
        <f>IFERROR(__xludf.DUMMYFUNCTION("GOOGLETRANSLATE(I1016,""en"",""pl"")"),"Obiektyw 5 MP, 1/1,8"", zmiennoogniskowy (4-13 mm), automatyczna przysłona DC, mocowanie C, TAMRON")</f>
        <v>Obiektyw 5 MP, 1/1,8", zmiennoogniskowy (4-13 mm), automatyczna przysłona DC, mocowanie C, TAMRON</v>
      </c>
      <c r="K1016" s="38"/>
      <c r="L1016" s="44">
        <v>360.0</v>
      </c>
      <c r="M1016" s="8"/>
      <c r="N1016" s="45" t="s">
        <v>22</v>
      </c>
      <c r="O1016" s="97"/>
      <c r="P1016" s="11"/>
      <c r="Q1016" s="9"/>
      <c r="R1016" s="59"/>
      <c r="S1016" s="59"/>
      <c r="T1016" s="59"/>
      <c r="U1016" s="9"/>
      <c r="V1016" s="9"/>
      <c r="W1016" s="9"/>
      <c r="X1016" s="9"/>
      <c r="Y1016" s="9"/>
      <c r="Z1016" s="9"/>
      <c r="AA1016" s="9"/>
      <c r="AB1016" s="9"/>
      <c r="AC1016" s="60"/>
      <c r="AD1016" s="61"/>
      <c r="AE1016" s="61"/>
      <c r="AF1016" s="61"/>
      <c r="AG1016" s="61"/>
      <c r="AH1016" s="61"/>
      <c r="AI1016" s="61"/>
      <c r="AJ1016" s="61"/>
      <c r="AK1016" s="61"/>
      <c r="AL1016" s="61"/>
      <c r="AM1016" s="61"/>
      <c r="AN1016" s="61"/>
      <c r="AO1016" s="61"/>
      <c r="AP1016" s="61"/>
    </row>
    <row r="1017" ht="46.5" customHeight="1">
      <c r="A1017" s="1"/>
      <c r="B1017" s="38" t="s">
        <v>26</v>
      </c>
      <c r="C1017" s="39" t="s">
        <v>2705</v>
      </c>
      <c r="D1017" s="116" t="s">
        <v>2706</v>
      </c>
      <c r="E1017" s="38"/>
      <c r="F1017" s="38"/>
      <c r="G1017" s="38"/>
      <c r="H1017" s="117" t="s">
        <v>170</v>
      </c>
      <c r="I1017" s="159" t="s">
        <v>2707</v>
      </c>
      <c r="J1017" s="42" t="str">
        <f>IFERROR(__xludf.DUMMYFUNCTION("GOOGLETRANSLATE(I1017,""en"",""pl"")"),"Obiektyw 3 MP, 1/2,7"", zmiennoogniskowy (2,8-8 mm), P Iris, mocowanie CS, TAMRON")</f>
        <v>Obiektyw 3 MP, 1/2,7", zmiennoogniskowy (2,8-8 mm), P Iris, mocowanie CS, TAMRON</v>
      </c>
      <c r="K1017" s="38"/>
      <c r="L1017" s="44">
        <v>220.0</v>
      </c>
      <c r="M1017" s="8"/>
      <c r="N1017" s="45" t="s">
        <v>22</v>
      </c>
      <c r="O1017" s="97"/>
      <c r="P1017" s="11"/>
      <c r="Q1017" s="9"/>
      <c r="R1017" s="59"/>
      <c r="S1017" s="59"/>
      <c r="T1017" s="59"/>
      <c r="U1017" s="9"/>
      <c r="V1017" s="9"/>
      <c r="W1017" s="9"/>
      <c r="X1017" s="9"/>
      <c r="Y1017" s="9"/>
      <c r="Z1017" s="9"/>
      <c r="AA1017" s="9"/>
      <c r="AB1017" s="9"/>
      <c r="AC1017" s="60"/>
      <c r="AD1017" s="61"/>
      <c r="AE1017" s="61"/>
      <c r="AF1017" s="61"/>
      <c r="AG1017" s="61"/>
      <c r="AH1017" s="61"/>
      <c r="AI1017" s="61"/>
      <c r="AJ1017" s="61"/>
      <c r="AK1017" s="61"/>
      <c r="AL1017" s="61"/>
      <c r="AM1017" s="61"/>
      <c r="AN1017" s="61"/>
      <c r="AO1017" s="61"/>
      <c r="AP1017" s="61"/>
    </row>
    <row r="1018" ht="46.5" customHeight="1">
      <c r="A1018" s="1"/>
      <c r="B1018" s="38" t="s">
        <v>26</v>
      </c>
      <c r="C1018" s="39" t="s">
        <v>2708</v>
      </c>
      <c r="D1018" s="116" t="s">
        <v>2706</v>
      </c>
      <c r="E1018" s="38"/>
      <c r="F1018" s="38"/>
      <c r="G1018" s="38"/>
      <c r="H1018" s="117" t="s">
        <v>170</v>
      </c>
      <c r="I1018" s="159" t="s">
        <v>2709</v>
      </c>
      <c r="J1018" s="42" t="str">
        <f>IFERROR(__xludf.DUMMYFUNCTION("GOOGLETRANSLATE(I1018,""en"",""pl"")"),"Obiektyw 3 MP, 1/2,7"", zmiennoogniskowy (8-50 mm), przysłona P, mocowanie CS, TAMRON")</f>
        <v>Obiektyw 3 MP, 1/2,7", zmiennoogniskowy (8-50 mm), przysłona P, mocowanie CS, TAMRON</v>
      </c>
      <c r="K1018" s="38"/>
      <c r="L1018" s="44">
        <v>400.0</v>
      </c>
      <c r="M1018" s="8"/>
      <c r="N1018" s="45" t="s">
        <v>22</v>
      </c>
      <c r="O1018" s="97"/>
      <c r="P1018" s="11"/>
      <c r="Q1018" s="9"/>
      <c r="R1018" s="59"/>
      <c r="S1018" s="59"/>
      <c r="T1018" s="59"/>
      <c r="U1018" s="9"/>
      <c r="V1018" s="9"/>
      <c r="W1018" s="9"/>
      <c r="X1018" s="9"/>
      <c r="Y1018" s="9"/>
      <c r="Z1018" s="9"/>
      <c r="AA1018" s="9"/>
      <c r="AB1018" s="9"/>
      <c r="AC1018" s="60"/>
      <c r="AD1018" s="61"/>
      <c r="AE1018" s="61"/>
      <c r="AF1018" s="61"/>
      <c r="AG1018" s="61"/>
      <c r="AH1018" s="61"/>
      <c r="AI1018" s="61"/>
      <c r="AJ1018" s="61"/>
      <c r="AK1018" s="61"/>
      <c r="AL1018" s="61"/>
      <c r="AM1018" s="61"/>
      <c r="AN1018" s="61"/>
      <c r="AO1018" s="61"/>
      <c r="AP1018" s="61"/>
    </row>
    <row r="1019" ht="46.5" customHeight="1">
      <c r="A1019" s="1"/>
      <c r="B1019" s="38" t="s">
        <v>26</v>
      </c>
      <c r="C1019" s="39" t="s">
        <v>2710</v>
      </c>
      <c r="D1019" s="116" t="s">
        <v>2711</v>
      </c>
      <c r="E1019" s="38"/>
      <c r="F1019" s="38"/>
      <c r="G1019" s="38"/>
      <c r="H1019" s="117" t="s">
        <v>170</v>
      </c>
      <c r="I1019" s="159" t="s">
        <v>2712</v>
      </c>
      <c r="J1019" s="42" t="str">
        <f>IFERROR(__xludf.DUMMYFUNCTION("GOOGLETRANSLATE(I1019,""en"",""pl"")"),"Obiektyw 5 MP, 1/1,8"", zmiennoogniskowy (4-13 mm), przysłona P Iris, mocowanie CS, TAMRON")</f>
        <v>Obiektyw 5 MP, 1/1,8", zmiennoogniskowy (4-13 mm), przysłona P Iris, mocowanie CS, TAMRON</v>
      </c>
      <c r="K1019" s="38"/>
      <c r="L1019" s="44">
        <v>337.0</v>
      </c>
      <c r="M1019" s="8"/>
      <c r="N1019" s="45" t="s">
        <v>22</v>
      </c>
      <c r="O1019" s="97"/>
      <c r="P1019" s="11"/>
      <c r="Q1019" s="9"/>
      <c r="R1019" s="59"/>
      <c r="S1019" s="59"/>
      <c r="T1019" s="59"/>
      <c r="U1019" s="9"/>
      <c r="V1019" s="9"/>
      <c r="W1019" s="9"/>
      <c r="X1019" s="9"/>
      <c r="Y1019" s="9"/>
      <c r="Z1019" s="9"/>
      <c r="AA1019" s="9"/>
      <c r="AB1019" s="9"/>
      <c r="AC1019" s="60"/>
      <c r="AD1019" s="61"/>
      <c r="AE1019" s="61"/>
      <c r="AF1019" s="61"/>
      <c r="AG1019" s="61"/>
      <c r="AH1019" s="61"/>
      <c r="AI1019" s="61"/>
      <c r="AJ1019" s="61"/>
      <c r="AK1019" s="61"/>
      <c r="AL1019" s="61"/>
      <c r="AM1019" s="61"/>
      <c r="AN1019" s="61"/>
      <c r="AO1019" s="61"/>
      <c r="AP1019" s="61"/>
    </row>
    <row r="1020" ht="46.5" customHeight="1">
      <c r="A1020" s="1"/>
      <c r="B1020" s="38" t="s">
        <v>26</v>
      </c>
      <c r="C1020" s="39" t="s">
        <v>2713</v>
      </c>
      <c r="D1020" s="116" t="s">
        <v>2711</v>
      </c>
      <c r="E1020" s="38"/>
      <c r="F1020" s="38"/>
      <c r="G1020" s="38"/>
      <c r="H1020" s="117" t="s">
        <v>170</v>
      </c>
      <c r="I1020" s="159" t="s">
        <v>2714</v>
      </c>
      <c r="J1020" s="42" t="str">
        <f>IFERROR(__xludf.DUMMYFUNCTION("GOOGLETRANSLATE(I1020,""en"",""pl"")"),"Obiektyw 5 MP, 1/1,8"", zmiennoogniskowy (12-50 mm), przysłona P, mocowanie CS, TAMRON")</f>
        <v>Obiektyw 5 MP, 1/1,8", zmiennoogniskowy (12-50 mm), przysłona P, mocowanie CS, TAMRON</v>
      </c>
      <c r="K1020" s="38"/>
      <c r="L1020" s="44">
        <v>360.0</v>
      </c>
      <c r="M1020" s="8"/>
      <c r="N1020" s="45" t="s">
        <v>22</v>
      </c>
      <c r="O1020" s="97"/>
      <c r="P1020" s="11"/>
      <c r="Q1020" s="9"/>
      <c r="R1020" s="59"/>
      <c r="S1020" s="59"/>
      <c r="T1020" s="59"/>
      <c r="U1020" s="9"/>
      <c r="V1020" s="9"/>
      <c r="W1020" s="9"/>
      <c r="X1020" s="9"/>
      <c r="Y1020" s="9"/>
      <c r="Z1020" s="9"/>
      <c r="AA1020" s="9"/>
      <c r="AB1020" s="9"/>
      <c r="AC1020" s="60"/>
      <c r="AD1020" s="61"/>
      <c r="AE1020" s="61"/>
      <c r="AF1020" s="61"/>
      <c r="AG1020" s="61"/>
      <c r="AH1020" s="61"/>
      <c r="AI1020" s="61"/>
      <c r="AJ1020" s="61"/>
      <c r="AK1020" s="61"/>
      <c r="AL1020" s="61"/>
      <c r="AM1020" s="61"/>
      <c r="AN1020" s="61"/>
      <c r="AO1020" s="61"/>
      <c r="AP1020" s="61"/>
    </row>
    <row r="1021" ht="46.5" customHeight="1">
      <c r="A1021" s="1"/>
      <c r="B1021" s="38" t="s">
        <v>26</v>
      </c>
      <c r="C1021" s="39" t="s">
        <v>2715</v>
      </c>
      <c r="D1021" s="116" t="s">
        <v>2716</v>
      </c>
      <c r="E1021" s="38"/>
      <c r="F1021" s="38"/>
      <c r="G1021" s="38"/>
      <c r="H1021" s="117" t="s">
        <v>170</v>
      </c>
      <c r="I1021" s="159" t="s">
        <v>2717</v>
      </c>
      <c r="J1021" s="42" t="str">
        <f>IFERROR(__xludf.DUMMYFUNCTION("GOOGLETRANSLATE(I1021,""en"",""pl"")"),"Obiektyw 5 MP, 1/1,8"", zmiennoogniskowy (4-13 mm), przysłona P, mocowanie C, TAMRON")</f>
        <v>Obiektyw 5 MP, 1/1,8", zmiennoogniskowy (4-13 mm), przysłona P, mocowanie C, TAMRON</v>
      </c>
      <c r="K1021" s="38"/>
      <c r="L1021" s="44">
        <v>380.0</v>
      </c>
      <c r="M1021" s="8"/>
      <c r="N1021" s="45" t="s">
        <v>22</v>
      </c>
      <c r="O1021" s="97"/>
      <c r="P1021" s="11"/>
      <c r="Q1021" s="9"/>
      <c r="R1021" s="59"/>
      <c r="S1021" s="59"/>
      <c r="T1021" s="59"/>
      <c r="U1021" s="9"/>
      <c r="V1021" s="9"/>
      <c r="W1021" s="9"/>
      <c r="X1021" s="9"/>
      <c r="Y1021" s="9"/>
      <c r="Z1021" s="9"/>
      <c r="AA1021" s="9"/>
      <c r="AB1021" s="9"/>
      <c r="AC1021" s="60"/>
      <c r="AD1021" s="61"/>
      <c r="AE1021" s="61"/>
      <c r="AF1021" s="61"/>
      <c r="AG1021" s="61"/>
      <c r="AH1021" s="61"/>
      <c r="AI1021" s="61"/>
      <c r="AJ1021" s="61"/>
      <c r="AK1021" s="61"/>
      <c r="AL1021" s="61"/>
      <c r="AM1021" s="61"/>
      <c r="AN1021" s="61"/>
      <c r="AO1021" s="61"/>
      <c r="AP1021" s="61"/>
    </row>
    <row r="1022" ht="46.5" customHeight="1">
      <c r="A1022" s="1"/>
      <c r="B1022" s="38" t="s">
        <v>26</v>
      </c>
      <c r="C1022" s="39" t="s">
        <v>2718</v>
      </c>
      <c r="D1022" s="116" t="s">
        <v>2719</v>
      </c>
      <c r="E1022" s="38"/>
      <c r="F1022" s="38"/>
      <c r="G1022" s="38"/>
      <c r="H1022" s="117" t="s">
        <v>170</v>
      </c>
      <c r="I1022" s="159" t="s">
        <v>2720</v>
      </c>
      <c r="J1022" s="42" t="str">
        <f>IFERROR(__xludf.DUMMYFUNCTION("GOOGLETRANSLATE(I1022,""en"",""pl"")"),"Obiektyw 3 MP, 1/2,7"", zmiennoogniskowy (2,8-8 mm), manualna przysłona, mocowanie CS, TAMRON")</f>
        <v>Obiektyw 3 MP, 1/2,7", zmiennoogniskowy (2,8-8 mm), manualna przysłona, mocowanie CS, TAMRON</v>
      </c>
      <c r="K1022" s="38"/>
      <c r="L1022" s="44">
        <v>230.0</v>
      </c>
      <c r="M1022" s="8"/>
      <c r="N1022" s="45" t="s">
        <v>22</v>
      </c>
      <c r="O1022" s="97"/>
      <c r="P1022" s="11"/>
      <c r="Q1022" s="9"/>
      <c r="R1022" s="59"/>
      <c r="S1022" s="59"/>
      <c r="T1022" s="59"/>
      <c r="U1022" s="9"/>
      <c r="V1022" s="9"/>
      <c r="W1022" s="9"/>
      <c r="X1022" s="9"/>
      <c r="Y1022" s="9"/>
      <c r="Z1022" s="9"/>
      <c r="AA1022" s="9"/>
      <c r="AB1022" s="9"/>
      <c r="AC1022" s="60"/>
      <c r="AD1022" s="61"/>
      <c r="AE1022" s="61"/>
      <c r="AF1022" s="61"/>
      <c r="AG1022" s="61"/>
      <c r="AH1022" s="61"/>
      <c r="AI1022" s="61"/>
      <c r="AJ1022" s="61"/>
      <c r="AK1022" s="61"/>
      <c r="AL1022" s="61"/>
      <c r="AM1022" s="61"/>
      <c r="AN1022" s="61"/>
      <c r="AO1022" s="61"/>
      <c r="AP1022" s="61"/>
    </row>
    <row r="1023" ht="46.5" customHeight="1">
      <c r="A1023" s="1"/>
      <c r="B1023" s="38" t="s">
        <v>26</v>
      </c>
      <c r="C1023" s="39" t="s">
        <v>2721</v>
      </c>
      <c r="D1023" s="116" t="s">
        <v>2722</v>
      </c>
      <c r="E1023" s="38"/>
      <c r="F1023" s="38"/>
      <c r="G1023" s="38"/>
      <c r="H1023" s="117" t="s">
        <v>170</v>
      </c>
      <c r="I1023" s="159" t="s">
        <v>2723</v>
      </c>
      <c r="J1023" s="42" t="str">
        <f>IFERROR(__xludf.DUMMYFUNCTION("GOOGLETRANSLATE(I1023,""en"",""pl"")"),"Obiektyw 5 MP, 1/1,8"", zmiennoogniskowy (4-13 mm), manualna przysłona, mocowanie C, TAMRON")</f>
        <v>Obiektyw 5 MP, 1/1,8", zmiennoogniskowy (4-13 mm), manualna przysłona, mocowanie C, TAMRON</v>
      </c>
      <c r="K1023" s="38"/>
      <c r="L1023" s="44">
        <v>470.0</v>
      </c>
      <c r="M1023" s="8"/>
      <c r="N1023" s="45" t="s">
        <v>22</v>
      </c>
      <c r="O1023" s="97"/>
      <c r="P1023" s="11"/>
      <c r="Q1023" s="9"/>
      <c r="R1023" s="59"/>
      <c r="S1023" s="59"/>
      <c r="T1023" s="59"/>
      <c r="U1023" s="9"/>
      <c r="V1023" s="9"/>
      <c r="W1023" s="9"/>
      <c r="X1023" s="9"/>
      <c r="Y1023" s="9"/>
      <c r="Z1023" s="9"/>
      <c r="AA1023" s="9"/>
      <c r="AB1023" s="9"/>
      <c r="AC1023" s="60"/>
      <c r="AD1023" s="61"/>
      <c r="AE1023" s="61"/>
      <c r="AF1023" s="61"/>
      <c r="AG1023" s="61"/>
      <c r="AH1023" s="61"/>
      <c r="AI1023" s="61"/>
      <c r="AJ1023" s="61"/>
      <c r="AK1023" s="61"/>
      <c r="AL1023" s="61"/>
      <c r="AM1023" s="61"/>
      <c r="AN1023" s="61"/>
      <c r="AO1023" s="61"/>
      <c r="AP1023" s="61"/>
    </row>
    <row r="1024" ht="46.5" customHeight="1">
      <c r="A1024" s="1"/>
      <c r="B1024" s="38" t="s">
        <v>26</v>
      </c>
      <c r="C1024" s="39" t="s">
        <v>2724</v>
      </c>
      <c r="D1024" s="160" t="s">
        <v>2725</v>
      </c>
      <c r="E1024" s="38"/>
      <c r="F1024" s="38"/>
      <c r="G1024" s="38"/>
      <c r="H1024" s="117" t="s">
        <v>170</v>
      </c>
      <c r="I1024" s="159" t="s">
        <v>2726</v>
      </c>
      <c r="J1024" s="42" t="str">
        <f>IFERROR(__xludf.DUMMYFUNCTION("GOOGLETRANSLATE(I1024,""en"",""pl"")"),"Mocowanie CS 1/2,7"" 2,8-10,0 mm F1,2-16C Asferyczny 3 megapiksele Manualna przysłona IR Korekcja")</f>
        <v>Mocowanie CS 1/2,7" 2,8-10,0 mm F1,2-16C Asferyczny 3 megapiksele Manualna przysłona IR Korekcja</v>
      </c>
      <c r="K1024" s="38"/>
      <c r="L1024" s="44">
        <v>146.0</v>
      </c>
      <c r="M1024" s="8"/>
      <c r="N1024" s="45" t="s">
        <v>22</v>
      </c>
      <c r="O1024" s="97"/>
      <c r="P1024" s="11"/>
      <c r="Q1024" s="9"/>
      <c r="R1024" s="59"/>
      <c r="S1024" s="59"/>
      <c r="T1024" s="59"/>
      <c r="U1024" s="9"/>
      <c r="V1024" s="9"/>
      <c r="W1024" s="9"/>
      <c r="X1024" s="9"/>
      <c r="Y1024" s="9"/>
      <c r="Z1024" s="9"/>
      <c r="AA1024" s="9"/>
      <c r="AB1024" s="9"/>
      <c r="AC1024" s="60"/>
      <c r="AD1024" s="61"/>
      <c r="AE1024" s="61"/>
      <c r="AF1024" s="61"/>
      <c r="AG1024" s="61"/>
      <c r="AH1024" s="61"/>
      <c r="AI1024" s="61"/>
      <c r="AJ1024" s="61"/>
      <c r="AK1024" s="61"/>
      <c r="AL1024" s="61"/>
      <c r="AM1024" s="61"/>
      <c r="AN1024" s="61"/>
      <c r="AO1024" s="61"/>
      <c r="AP1024" s="61"/>
    </row>
    <row r="1025" ht="46.5" customHeight="1">
      <c r="A1025" s="1"/>
      <c r="B1025" s="38" t="s">
        <v>26</v>
      </c>
      <c r="C1025" s="39" t="s">
        <v>2727</v>
      </c>
      <c r="D1025" s="160" t="s">
        <v>2728</v>
      </c>
      <c r="E1025" s="38"/>
      <c r="F1025" s="38"/>
      <c r="G1025" s="38"/>
      <c r="H1025" s="117" t="s">
        <v>170</v>
      </c>
      <c r="I1025" s="159" t="s">
        <v>2729</v>
      </c>
      <c r="J1025" s="42" t="str">
        <f>IFERROR(__xludf.DUMMYFUNCTION("GOOGLETRANSLATE(I1025,""en"",""pl"")"),"Mocowanie CS 1/2,7"" 8,5-50,0 mm F1,6-16C Asferyczny 3 megapiksele Zmiennoogniskowy Manualna przysłona")</f>
        <v>Mocowanie CS 1/2,7" 8,5-50,0 mm F1,6-16C Asferyczny 3 megapiksele Zmiennoogniskowy Manualna przysłona</v>
      </c>
      <c r="K1025" s="38"/>
      <c r="L1025" s="44">
        <v>160.0</v>
      </c>
      <c r="M1025" s="8"/>
      <c r="N1025" s="45" t="s">
        <v>22</v>
      </c>
      <c r="O1025" s="97"/>
      <c r="P1025" s="11"/>
      <c r="Q1025" s="9"/>
      <c r="R1025" s="59"/>
      <c r="S1025" s="59"/>
      <c r="T1025" s="59"/>
      <c r="U1025" s="9"/>
      <c r="V1025" s="9"/>
      <c r="W1025" s="9"/>
      <c r="X1025" s="9"/>
      <c r="Y1025" s="9"/>
      <c r="Z1025" s="9"/>
      <c r="AA1025" s="9"/>
      <c r="AB1025" s="9"/>
      <c r="AC1025" s="60"/>
      <c r="AD1025" s="61"/>
      <c r="AE1025" s="61"/>
      <c r="AF1025" s="61"/>
      <c r="AG1025" s="61"/>
      <c r="AH1025" s="61"/>
      <c r="AI1025" s="61"/>
      <c r="AJ1025" s="61"/>
      <c r="AK1025" s="61"/>
      <c r="AL1025" s="61"/>
      <c r="AM1025" s="61"/>
      <c r="AN1025" s="61"/>
      <c r="AO1025" s="61"/>
      <c r="AP1025" s="61"/>
    </row>
    <row r="1026" ht="46.5" customHeight="1">
      <c r="A1026" s="1"/>
      <c r="B1026" s="38" t="s">
        <v>26</v>
      </c>
      <c r="C1026" s="39" t="s">
        <v>2730</v>
      </c>
      <c r="D1026" s="160" t="s">
        <v>2731</v>
      </c>
      <c r="E1026" s="38"/>
      <c r="F1026" s="38"/>
      <c r="G1026" s="38"/>
      <c r="H1026" s="117" t="s">
        <v>170</v>
      </c>
      <c r="I1026" s="159" t="s">
        <v>2732</v>
      </c>
      <c r="J1026" s="42" t="str">
        <f>IFERROR(__xludf.DUMMYFUNCTION("GOOGLETRANSLATE(I1026,""en"",""pl"")"),"Mocowanie CS 1/2,7"" 2,8-8,5 mm F1,2-16C Asferyczny 5 megapikseli Zmiennoogniskowy Manualna przysłona Korekcja podczerwieni")</f>
        <v>Mocowanie CS 1/2,7" 2,8-8,5 mm F1,2-16C Asferyczny 5 megapikseli Zmiennoogniskowy Manualna przysłona Korekcja podczerwieni</v>
      </c>
      <c r="K1026" s="38"/>
      <c r="L1026" s="44">
        <v>188.0</v>
      </c>
      <c r="M1026" s="8"/>
      <c r="N1026" s="45" t="s">
        <v>22</v>
      </c>
      <c r="O1026" s="97"/>
      <c r="P1026" s="11"/>
      <c r="Q1026" s="9"/>
      <c r="R1026" s="59"/>
      <c r="S1026" s="59"/>
      <c r="T1026" s="59"/>
      <c r="U1026" s="9"/>
      <c r="V1026" s="9"/>
      <c r="W1026" s="9"/>
      <c r="X1026" s="9"/>
      <c r="Y1026" s="9"/>
      <c r="Z1026" s="9"/>
      <c r="AA1026" s="9"/>
      <c r="AB1026" s="9"/>
      <c r="AC1026" s="60"/>
      <c r="AD1026" s="61"/>
      <c r="AE1026" s="61"/>
      <c r="AF1026" s="61"/>
      <c r="AG1026" s="61"/>
      <c r="AH1026" s="61"/>
      <c r="AI1026" s="61"/>
      <c r="AJ1026" s="61"/>
      <c r="AK1026" s="61"/>
      <c r="AL1026" s="61"/>
      <c r="AM1026" s="61"/>
      <c r="AN1026" s="61"/>
      <c r="AO1026" s="61"/>
      <c r="AP1026" s="61"/>
    </row>
    <row r="1027" ht="46.5" customHeight="1">
      <c r="A1027" s="1"/>
      <c r="B1027" s="38" t="s">
        <v>26</v>
      </c>
      <c r="C1027" s="39" t="s">
        <v>2733</v>
      </c>
      <c r="D1027" s="160" t="s">
        <v>2734</v>
      </c>
      <c r="E1027" s="38"/>
      <c r="F1027" s="38"/>
      <c r="G1027" s="38"/>
      <c r="H1027" s="117" t="s">
        <v>170</v>
      </c>
      <c r="I1027" s="159" t="s">
        <v>2735</v>
      </c>
      <c r="J1027" s="42" t="str">
        <f>IFERROR(__xludf.DUMMYFUNCTION("GOOGLETRANSLATE(I1027,""en"",""pl"")"),"Mocowanie CS 1/1,8"" 3,9-10,0 mm, F1,5-16C, asferyczny, 8 megapikseli, zmiennoogniskowy, manualna przysłona z korekcją podczerwieni")</f>
        <v>Mocowanie CS 1/1,8" 3,9-10,0 mm, F1,5-16C, asferyczny, 8 megapikseli, zmiennoogniskowy, manualna przysłona z korekcją podczerwieni</v>
      </c>
      <c r="K1027" s="38"/>
      <c r="L1027" s="44">
        <v>220.0</v>
      </c>
      <c r="M1027" s="8"/>
      <c r="N1027" s="45" t="s">
        <v>22</v>
      </c>
      <c r="O1027" s="97"/>
      <c r="P1027" s="11"/>
      <c r="Q1027" s="9"/>
      <c r="R1027" s="59"/>
      <c r="S1027" s="59"/>
      <c r="T1027" s="59"/>
      <c r="U1027" s="9"/>
      <c r="V1027" s="9"/>
      <c r="W1027" s="9"/>
      <c r="X1027" s="9"/>
      <c r="Y1027" s="9"/>
      <c r="Z1027" s="9"/>
      <c r="AA1027" s="9"/>
      <c r="AB1027" s="9"/>
      <c r="AC1027" s="60"/>
      <c r="AD1027" s="61"/>
      <c r="AE1027" s="61"/>
      <c r="AF1027" s="61"/>
      <c r="AG1027" s="61"/>
      <c r="AH1027" s="61"/>
      <c r="AI1027" s="61"/>
      <c r="AJ1027" s="61"/>
      <c r="AK1027" s="61"/>
      <c r="AL1027" s="61"/>
      <c r="AM1027" s="61"/>
      <c r="AN1027" s="61"/>
      <c r="AO1027" s="61"/>
      <c r="AP1027" s="61"/>
    </row>
    <row r="1028" ht="46.5" customHeight="1">
      <c r="A1028" s="1"/>
      <c r="B1028" s="38" t="s">
        <v>26</v>
      </c>
      <c r="C1028" s="39" t="s">
        <v>2736</v>
      </c>
      <c r="D1028" s="160" t="s">
        <v>2737</v>
      </c>
      <c r="E1028" s="38"/>
      <c r="F1028" s="38"/>
      <c r="G1028" s="38"/>
      <c r="H1028" s="117" t="s">
        <v>170</v>
      </c>
      <c r="I1028" s="159" t="s">
        <v>2738</v>
      </c>
      <c r="J1028" s="42" t="str">
        <f>IFERROR(__xludf.DUMMYFUNCTION("GOOGLETRANSLATE(I1028,""en"",""pl"")"),"Mocowanie CS 1/3"" 3,0-8,0 mm F1,2-360 asferyczny 3-megapikselowy zmiennoogniskowy napęd DC z korekcją podczerwieni i przewodem obiektywu 31 cm")</f>
        <v>Mocowanie CS 1/3" 3,0-8,0 mm F1,2-360 asferyczny 3-megapikselowy zmiennoogniskowy napęd DC z korekcją podczerwieni i przewodem obiektywu 31 cm</v>
      </c>
      <c r="K1028" s="38"/>
      <c r="L1028" s="44">
        <v>42.0</v>
      </c>
      <c r="M1028" s="8"/>
      <c r="N1028" s="45" t="s">
        <v>22</v>
      </c>
      <c r="O1028" s="97"/>
      <c r="P1028" s="11"/>
      <c r="Q1028" s="9"/>
      <c r="R1028" s="59"/>
      <c r="S1028" s="59"/>
      <c r="T1028" s="59"/>
      <c r="U1028" s="9"/>
      <c r="V1028" s="9"/>
      <c r="W1028" s="9"/>
      <c r="X1028" s="9"/>
      <c r="Y1028" s="9"/>
      <c r="Z1028" s="9"/>
      <c r="AA1028" s="9"/>
      <c r="AB1028" s="9"/>
      <c r="AC1028" s="60"/>
      <c r="AD1028" s="61"/>
      <c r="AE1028" s="61"/>
      <c r="AF1028" s="61"/>
      <c r="AG1028" s="61"/>
      <c r="AH1028" s="61"/>
      <c r="AI1028" s="61"/>
      <c r="AJ1028" s="61"/>
      <c r="AK1028" s="61"/>
      <c r="AL1028" s="61"/>
      <c r="AM1028" s="61"/>
      <c r="AN1028" s="61"/>
      <c r="AO1028" s="61"/>
      <c r="AP1028" s="61"/>
    </row>
    <row r="1029" ht="46.5" customHeight="1">
      <c r="A1029" s="1"/>
      <c r="B1029" s="38" t="s">
        <v>26</v>
      </c>
      <c r="C1029" s="39" t="s">
        <v>2739</v>
      </c>
      <c r="D1029" s="160" t="s">
        <v>2737</v>
      </c>
      <c r="E1029" s="38"/>
      <c r="F1029" s="38"/>
      <c r="G1029" s="38"/>
      <c r="H1029" s="117" t="s">
        <v>170</v>
      </c>
      <c r="I1029" s="159" t="s">
        <v>2740</v>
      </c>
      <c r="J1029" s="42" t="str">
        <f>IFERROR(__xludf.DUMMYFUNCTION("GOOGLETRANSLATE(I1029,""en"",""pl"")"),"Obiektyw asferyczny 1/2,7"" CS 2,8-10,0 mm F1,2-360, 3-megapikselowy, zmiennoogniskowy, z napędem DC, z korekcją podczerwieni, z przewodem obiektywu 31 cm")</f>
        <v>Obiektyw asferyczny 1/2,7" CS 2,8-10,0 mm F1,2-360, 3-megapikselowy, zmiennoogniskowy, z napędem DC, z korekcją podczerwieni, z przewodem obiektywu 31 cm</v>
      </c>
      <c r="K1029" s="38"/>
      <c r="L1029" s="44">
        <v>149.0</v>
      </c>
      <c r="M1029" s="8"/>
      <c r="N1029" s="45" t="s">
        <v>22</v>
      </c>
      <c r="O1029" s="97"/>
      <c r="P1029" s="11"/>
      <c r="Q1029" s="9"/>
      <c r="R1029" s="59"/>
      <c r="S1029" s="59"/>
      <c r="T1029" s="59"/>
      <c r="U1029" s="9"/>
      <c r="V1029" s="9"/>
      <c r="W1029" s="9"/>
      <c r="X1029" s="9"/>
      <c r="Y1029" s="9"/>
      <c r="Z1029" s="9"/>
      <c r="AA1029" s="9"/>
      <c r="AB1029" s="9"/>
      <c r="AC1029" s="60"/>
      <c r="AD1029" s="61"/>
      <c r="AE1029" s="61"/>
      <c r="AF1029" s="61"/>
      <c r="AG1029" s="61"/>
      <c r="AH1029" s="61"/>
      <c r="AI1029" s="61"/>
      <c r="AJ1029" s="61"/>
      <c r="AK1029" s="61"/>
      <c r="AL1029" s="61"/>
      <c r="AM1029" s="61"/>
      <c r="AN1029" s="61"/>
      <c r="AO1029" s="61"/>
      <c r="AP1029" s="61"/>
    </row>
    <row r="1030" ht="46.5" customHeight="1">
      <c r="A1030" s="1"/>
      <c r="B1030" s="38" t="s">
        <v>26</v>
      </c>
      <c r="C1030" s="39" t="s">
        <v>2741</v>
      </c>
      <c r="D1030" s="160" t="s">
        <v>2737</v>
      </c>
      <c r="E1030" s="38"/>
      <c r="F1030" s="38"/>
      <c r="G1030" s="38"/>
      <c r="H1030" s="117" t="s">
        <v>170</v>
      </c>
      <c r="I1030" s="159" t="s">
        <v>2742</v>
      </c>
      <c r="J1030" s="42" t="str">
        <f>IFERROR(__xludf.DUMMYFUNCTION("GOOGLETRANSLATE(I1030,""en"",""pl"")"),"Mocowanie CS 1/2,7"" 8,5-50,0 mm F1,6-360C asferyczny 3-megapikselowy zmiennoogniskowy napęd DC z przewodem obiektywu 31 cm")</f>
        <v>Mocowanie CS 1/2,7" 8,5-50,0 mm F1,6-360C asferyczny 3-megapikselowy zmiennoogniskowy napęd DC z przewodem obiektywu 31 cm</v>
      </c>
      <c r="K1030" s="38"/>
      <c r="L1030" s="44">
        <v>162.0</v>
      </c>
      <c r="M1030" s="8"/>
      <c r="N1030" s="45" t="s">
        <v>22</v>
      </c>
      <c r="O1030" s="97"/>
      <c r="P1030" s="11"/>
      <c r="Q1030" s="9"/>
      <c r="R1030" s="59"/>
      <c r="S1030" s="59"/>
      <c r="T1030" s="59"/>
      <c r="U1030" s="9"/>
      <c r="V1030" s="9"/>
      <c r="W1030" s="9"/>
      <c r="X1030" s="9"/>
      <c r="Y1030" s="9"/>
      <c r="Z1030" s="9"/>
      <c r="AA1030" s="9"/>
      <c r="AB1030" s="9"/>
      <c r="AC1030" s="60"/>
      <c r="AD1030" s="61"/>
      <c r="AE1030" s="61"/>
      <c r="AF1030" s="61"/>
      <c r="AG1030" s="61"/>
      <c r="AH1030" s="61"/>
      <c r="AI1030" s="61"/>
      <c r="AJ1030" s="61"/>
      <c r="AK1030" s="61"/>
      <c r="AL1030" s="61"/>
      <c r="AM1030" s="61"/>
      <c r="AN1030" s="61"/>
      <c r="AO1030" s="61"/>
      <c r="AP1030" s="61"/>
    </row>
    <row r="1031" ht="46.5" customHeight="1">
      <c r="A1031" s="1"/>
      <c r="B1031" s="38" t="s">
        <v>26</v>
      </c>
      <c r="C1031" s="39" t="s">
        <v>2743</v>
      </c>
      <c r="D1031" s="160" t="s">
        <v>2744</v>
      </c>
      <c r="E1031" s="38"/>
      <c r="F1031" s="38"/>
      <c r="G1031" s="38"/>
      <c r="H1031" s="117" t="s">
        <v>170</v>
      </c>
      <c r="I1031" s="159" t="s">
        <v>2745</v>
      </c>
      <c r="J1031" s="42" t="str">
        <f>IFERROR(__xludf.DUMMYFUNCTION("GOOGLETRANSLATE(I1031,""en"",""pl"")"),"Obiektyw asferyczny 1/2,7"" CS 2,8-8,5 mm F1,2-360C, 5 megapikseli, zmiennoogniskowy, z napędem DC, z korekcją podczerwieni, z przewodem obiektywu 31 cm")</f>
        <v>Obiektyw asferyczny 1/2,7" CS 2,8-8,5 mm F1,2-360C, 5 megapikseli, zmiennoogniskowy, z napędem DC, z korekcją podczerwieni, z przewodem obiektywu 31 cm</v>
      </c>
      <c r="K1031" s="38"/>
      <c r="L1031" s="44">
        <v>202.0</v>
      </c>
      <c r="M1031" s="8"/>
      <c r="N1031" s="45" t="s">
        <v>22</v>
      </c>
      <c r="O1031" s="97"/>
      <c r="P1031" s="11"/>
      <c r="Q1031" s="9"/>
      <c r="R1031" s="59"/>
      <c r="S1031" s="59"/>
      <c r="T1031" s="59"/>
      <c r="U1031" s="9"/>
      <c r="V1031" s="9"/>
      <c r="W1031" s="9"/>
      <c r="X1031" s="9"/>
      <c r="Y1031" s="9"/>
      <c r="Z1031" s="9"/>
      <c r="AA1031" s="9"/>
      <c r="AB1031" s="9"/>
      <c r="AC1031" s="60"/>
      <c r="AD1031" s="61"/>
      <c r="AE1031" s="61"/>
      <c r="AF1031" s="61"/>
      <c r="AG1031" s="61"/>
      <c r="AH1031" s="61"/>
      <c r="AI1031" s="61"/>
      <c r="AJ1031" s="61"/>
      <c r="AK1031" s="61"/>
      <c r="AL1031" s="61"/>
      <c r="AM1031" s="61"/>
      <c r="AN1031" s="61"/>
      <c r="AO1031" s="61"/>
      <c r="AP1031" s="61"/>
    </row>
    <row r="1032" ht="46.5" customHeight="1">
      <c r="A1032" s="1"/>
      <c r="B1032" s="38" t="s">
        <v>26</v>
      </c>
      <c r="C1032" s="39" t="s">
        <v>2746</v>
      </c>
      <c r="D1032" s="160" t="s">
        <v>2747</v>
      </c>
      <c r="E1032" s="38"/>
      <c r="F1032" s="38"/>
      <c r="G1032" s="38"/>
      <c r="H1032" s="117" t="s">
        <v>170</v>
      </c>
      <c r="I1032" s="159" t="s">
        <v>2748</v>
      </c>
      <c r="J1032" s="42" t="str">
        <f>IFERROR(__xludf.DUMMYFUNCTION("GOOGLETRANSLATE(I1032,""en"",""pl"")"),"Mocowanie CS 1/1,8"" 3,9-10,0 mm, F1,5-360C, asferyczny, 8-megapikselowy, zmiennoogniskowy, napęd DC, korekcja podczerwieni, z przewodem obiektywu 31 cm")</f>
        <v>Mocowanie CS 1/1,8" 3,9-10,0 mm, F1,5-360C, asferyczny, 8-megapikselowy, zmiennoogniskowy, napęd DC, korekcja podczerwieni, z przewodem obiektywu 31 cm</v>
      </c>
      <c r="K1032" s="38"/>
      <c r="L1032" s="44">
        <v>236.0</v>
      </c>
      <c r="M1032" s="8"/>
      <c r="N1032" s="45" t="s">
        <v>22</v>
      </c>
      <c r="O1032" s="97"/>
      <c r="P1032" s="11"/>
      <c r="Q1032" s="9"/>
      <c r="R1032" s="59"/>
      <c r="S1032" s="59"/>
      <c r="T1032" s="59"/>
      <c r="U1032" s="9"/>
      <c r="V1032" s="9"/>
      <c r="W1032" s="9"/>
      <c r="X1032" s="9"/>
      <c r="Y1032" s="9"/>
      <c r="Z1032" s="9"/>
      <c r="AA1032" s="9"/>
      <c r="AB1032" s="9"/>
      <c r="AC1032" s="60"/>
      <c r="AD1032" s="61"/>
      <c r="AE1032" s="61"/>
      <c r="AF1032" s="61"/>
      <c r="AG1032" s="61"/>
      <c r="AH1032" s="61"/>
      <c r="AI1032" s="61"/>
      <c r="AJ1032" s="61"/>
      <c r="AK1032" s="61"/>
      <c r="AL1032" s="61"/>
      <c r="AM1032" s="61"/>
      <c r="AN1032" s="61"/>
      <c r="AO1032" s="61"/>
      <c r="AP1032" s="61"/>
    </row>
    <row r="1033" ht="46.5" customHeight="1">
      <c r="A1033" s="1"/>
      <c r="B1033" s="38" t="s">
        <v>26</v>
      </c>
      <c r="C1033" s="39" t="s">
        <v>2749</v>
      </c>
      <c r="D1033" s="160" t="s">
        <v>2750</v>
      </c>
      <c r="E1033" s="38"/>
      <c r="F1033" s="38"/>
      <c r="G1033" s="38"/>
      <c r="H1033" s="117" t="s">
        <v>170</v>
      </c>
      <c r="I1033" s="159" t="s">
        <v>2751</v>
      </c>
      <c r="J1033" s="42" t="str">
        <f>IFERROR(__xludf.DUMMYFUNCTION("GOOGLETRANSLATE(I1033,""en"",""pl"")"),"Mocowanie CS 1/1,8"" 9,0-50,0 mm F1,5-360C Asferyczny 12-megapikselowy obiektyw zmiennoogniskowy z napędem DC, korygowany podczerwienią, z przewodem obiektywu 31 cm")</f>
        <v>Mocowanie CS 1/1,8" 9,0-50,0 mm F1,5-360C Asferyczny 12-megapikselowy obiektyw zmiennoogniskowy z napędem DC, korygowany podczerwienią, z przewodem obiektywu 31 cm</v>
      </c>
      <c r="K1033" s="38"/>
      <c r="L1033" s="44">
        <v>395.0</v>
      </c>
      <c r="M1033" s="8"/>
      <c r="N1033" s="45" t="s">
        <v>22</v>
      </c>
      <c r="O1033" s="97"/>
      <c r="P1033" s="11"/>
      <c r="Q1033" s="9"/>
      <c r="R1033" s="59"/>
      <c r="S1033" s="59"/>
      <c r="T1033" s="59"/>
      <c r="U1033" s="9"/>
      <c r="V1033" s="9"/>
      <c r="W1033" s="9"/>
      <c r="X1033" s="9"/>
      <c r="Y1033" s="9"/>
      <c r="Z1033" s="9"/>
      <c r="AA1033" s="9"/>
      <c r="AB1033" s="9"/>
      <c r="AC1033" s="60"/>
      <c r="AD1033" s="61"/>
      <c r="AE1033" s="61"/>
      <c r="AF1033" s="61"/>
      <c r="AG1033" s="61"/>
      <c r="AH1033" s="61"/>
      <c r="AI1033" s="61"/>
      <c r="AJ1033" s="61"/>
      <c r="AK1033" s="61"/>
      <c r="AL1033" s="61"/>
      <c r="AM1033" s="61"/>
      <c r="AN1033" s="61"/>
      <c r="AO1033" s="61"/>
      <c r="AP1033" s="61"/>
    </row>
    <row r="1034" ht="46.5" customHeight="1">
      <c r="A1034" s="1"/>
      <c r="B1034" s="38" t="s">
        <v>26</v>
      </c>
      <c r="C1034" s="39" t="s">
        <v>2752</v>
      </c>
      <c r="D1034" s="160" t="s">
        <v>2753</v>
      </c>
      <c r="E1034" s="38"/>
      <c r="F1034" s="38"/>
      <c r="G1034" s="38"/>
      <c r="H1034" s="117" t="s">
        <v>170</v>
      </c>
      <c r="I1034" s="159" t="s">
        <v>2754</v>
      </c>
      <c r="J1034" s="42" t="str">
        <f>IFERROR(__xludf.DUMMYFUNCTION("GOOGLETRANSLATE(I1034,""en"",""pl"")"),"Mocowanie CS 1/2,7"" 2,8-8,5 mm F1,2-16C Asferyczny 5-megapikselowy zmiennoogniskowy napęd P-Iris z korekcją podczerwieni i przewodem obiektywu 31 cm")</f>
        <v>Mocowanie CS 1/2,7" 2,8-8,5 mm F1,2-16C Asferyczny 5-megapikselowy zmiennoogniskowy napęd P-Iris z korekcją podczerwieni i przewodem obiektywu 31 cm</v>
      </c>
      <c r="K1034" s="38"/>
      <c r="L1034" s="44">
        <v>221.0</v>
      </c>
      <c r="M1034" s="8"/>
      <c r="N1034" s="45" t="s">
        <v>22</v>
      </c>
      <c r="O1034" s="97"/>
      <c r="P1034" s="11"/>
      <c r="Q1034" s="9"/>
      <c r="R1034" s="59"/>
      <c r="S1034" s="59"/>
      <c r="T1034" s="59"/>
      <c r="U1034" s="9"/>
      <c r="V1034" s="9"/>
      <c r="W1034" s="9"/>
      <c r="X1034" s="9"/>
      <c r="Y1034" s="9"/>
      <c r="Z1034" s="9"/>
      <c r="AA1034" s="9"/>
      <c r="AB1034" s="9"/>
      <c r="AC1034" s="60"/>
      <c r="AD1034" s="61"/>
      <c r="AE1034" s="61"/>
      <c r="AF1034" s="61"/>
      <c r="AG1034" s="61"/>
      <c r="AH1034" s="61"/>
      <c r="AI1034" s="61"/>
      <c r="AJ1034" s="61"/>
      <c r="AK1034" s="61"/>
      <c r="AL1034" s="61"/>
      <c r="AM1034" s="61"/>
      <c r="AN1034" s="61"/>
      <c r="AO1034" s="61"/>
      <c r="AP1034" s="61"/>
    </row>
    <row r="1035" ht="46.5" customHeight="1">
      <c r="A1035" s="1"/>
      <c r="B1035" s="38" t="s">
        <v>26</v>
      </c>
      <c r="C1035" s="39" t="s">
        <v>2755</v>
      </c>
      <c r="D1035" s="160" t="s">
        <v>2756</v>
      </c>
      <c r="E1035" s="38"/>
      <c r="F1035" s="38"/>
      <c r="G1035" s="38"/>
      <c r="H1035" s="117" t="s">
        <v>170</v>
      </c>
      <c r="I1035" s="159" t="s">
        <v>2757</v>
      </c>
      <c r="J1035" s="42" t="str">
        <f>IFERROR(__xludf.DUMMYFUNCTION("GOOGLETRANSLATE(I1035,""en"",""pl"")"),"Mocowanie CS 1/1,8"" 3,9-10,0 mm, F1,5-16C, asferyczny, 8-megapikselowy, zmiennoogniskowy, napęd P-Iris, korekcja podczerwieni, z kablem V, przewód obiektywu 31 cm")</f>
        <v>Mocowanie CS 1/1,8" 3,9-10,0 mm, F1,5-16C, asferyczny, 8-megapikselowy, zmiennoogniskowy, napęd P-Iris, korekcja podczerwieni, z kablem V, przewód obiektywu 31 cm</v>
      </c>
      <c r="K1035" s="38"/>
      <c r="L1035" s="44">
        <v>258.0</v>
      </c>
      <c r="M1035" s="8"/>
      <c r="N1035" s="45" t="s">
        <v>22</v>
      </c>
      <c r="O1035" s="97"/>
      <c r="P1035" s="11"/>
      <c r="Q1035" s="9"/>
      <c r="R1035" s="59"/>
      <c r="S1035" s="59"/>
      <c r="T1035" s="59"/>
      <c r="U1035" s="9"/>
      <c r="V1035" s="9"/>
      <c r="W1035" s="9"/>
      <c r="X1035" s="9"/>
      <c r="Y1035" s="9"/>
      <c r="Z1035" s="9"/>
      <c r="AA1035" s="9"/>
      <c r="AB1035" s="9"/>
      <c r="AC1035" s="60"/>
      <c r="AD1035" s="61"/>
      <c r="AE1035" s="61"/>
      <c r="AF1035" s="61"/>
      <c r="AG1035" s="61"/>
      <c r="AH1035" s="61"/>
      <c r="AI1035" s="61"/>
      <c r="AJ1035" s="61"/>
      <c r="AK1035" s="61"/>
      <c r="AL1035" s="61"/>
      <c r="AM1035" s="61"/>
      <c r="AN1035" s="61"/>
      <c r="AO1035" s="61"/>
      <c r="AP1035" s="61"/>
    </row>
    <row r="1036" ht="46.5" customHeight="1">
      <c r="A1036" s="1"/>
      <c r="B1036" s="38" t="s">
        <v>26</v>
      </c>
      <c r="C1036" s="39" t="s">
        <v>2758</v>
      </c>
      <c r="D1036" s="160" t="s">
        <v>2759</v>
      </c>
      <c r="E1036" s="38"/>
      <c r="F1036" s="38"/>
      <c r="G1036" s="38"/>
      <c r="H1036" s="117" t="s">
        <v>170</v>
      </c>
      <c r="I1036" s="159" t="s">
        <v>2760</v>
      </c>
      <c r="J1036" s="42" t="str">
        <f>IFERROR(__xludf.DUMMYFUNCTION("GOOGLETRANSLATE(I1036,""en"",""pl"")"),"Mocowanie CS 1/1,8"" 9,0-50,0 mm F1,5-360C Asferyczny 12-megapikselowy zmiennoogniskowy napęd „P-Iris” z korekcją podczerwieni i przewodem obiektywu 31 cm")</f>
        <v>Mocowanie CS 1/1,8" 9,0-50,0 mm F1,5-360C Asferyczny 12-megapikselowy zmiennoogniskowy napęd „P-Iris” z korekcją podczerwieni i przewodem obiektywu 31 cm</v>
      </c>
      <c r="K1036" s="38"/>
      <c r="L1036" s="44">
        <v>403.0</v>
      </c>
      <c r="M1036" s="8"/>
      <c r="N1036" s="45" t="s">
        <v>22</v>
      </c>
      <c r="O1036" s="97"/>
      <c r="P1036" s="11"/>
      <c r="Q1036" s="9"/>
      <c r="R1036" s="59"/>
      <c r="S1036" s="59"/>
      <c r="T1036" s="59"/>
      <c r="U1036" s="9"/>
      <c r="V1036" s="9"/>
      <c r="W1036" s="9"/>
      <c r="X1036" s="9"/>
      <c r="Y1036" s="9"/>
      <c r="Z1036" s="9"/>
      <c r="AA1036" s="9"/>
      <c r="AB1036" s="9"/>
      <c r="AC1036" s="60"/>
      <c r="AD1036" s="61"/>
      <c r="AE1036" s="61"/>
      <c r="AF1036" s="61"/>
      <c r="AG1036" s="61"/>
      <c r="AH1036" s="61"/>
      <c r="AI1036" s="61"/>
      <c r="AJ1036" s="61"/>
      <c r="AK1036" s="61"/>
      <c r="AL1036" s="61"/>
      <c r="AM1036" s="61"/>
      <c r="AN1036" s="61"/>
      <c r="AO1036" s="61"/>
      <c r="AP1036" s="61"/>
    </row>
    <row r="1037" ht="46.5" customHeight="1">
      <c r="A1037" s="1"/>
      <c r="B1037" s="38" t="s">
        <v>26</v>
      </c>
      <c r="C1037" s="39" t="s">
        <v>2761</v>
      </c>
      <c r="D1037" s="160" t="s">
        <v>2762</v>
      </c>
      <c r="E1037" s="38"/>
      <c r="F1037" s="38"/>
      <c r="G1037" s="38"/>
      <c r="H1037" s="117" t="s">
        <v>170</v>
      </c>
      <c r="I1037" s="159" t="s">
        <v>2763</v>
      </c>
      <c r="J1037" s="42" t="str">
        <f>IFERROR(__xludf.DUMMYFUNCTION("GOOGLETRANSLATE(I1037,""en"",""pl"")"),"Mocowanie CS 1/2,7"" 2,8-8,5 mm F1,2-16C Asferyczny 5-megapikselowy obiektyw zmiennoogniskowy iCS z korekcją podczerwieni i przewodem obiektywu 31 cm")</f>
        <v>Mocowanie CS 1/2,7" 2,8-8,5 mm F1,2-16C Asferyczny 5-megapikselowy obiektyw zmiennoogniskowy iCS z korekcją podczerwieni i przewodem obiektywu 31 cm</v>
      </c>
      <c r="K1037" s="38"/>
      <c r="L1037" s="44">
        <v>365.0</v>
      </c>
      <c r="M1037" s="8"/>
      <c r="N1037" s="45" t="s">
        <v>22</v>
      </c>
      <c r="O1037" s="97"/>
      <c r="P1037" s="11"/>
      <c r="Q1037" s="9"/>
      <c r="R1037" s="59"/>
      <c r="S1037" s="59"/>
      <c r="T1037" s="59"/>
      <c r="U1037" s="9"/>
      <c r="V1037" s="9"/>
      <c r="W1037" s="9"/>
      <c r="X1037" s="9"/>
      <c r="Y1037" s="9"/>
      <c r="Z1037" s="9"/>
      <c r="AA1037" s="9"/>
      <c r="AB1037" s="9"/>
      <c r="AC1037" s="60"/>
      <c r="AD1037" s="61"/>
      <c r="AE1037" s="61"/>
      <c r="AF1037" s="61"/>
      <c r="AG1037" s="61"/>
      <c r="AH1037" s="61"/>
      <c r="AI1037" s="61"/>
      <c r="AJ1037" s="61"/>
      <c r="AK1037" s="61"/>
      <c r="AL1037" s="61"/>
      <c r="AM1037" s="61"/>
      <c r="AN1037" s="61"/>
      <c r="AO1037" s="61"/>
      <c r="AP1037" s="61"/>
    </row>
    <row r="1038" ht="46.5" customHeight="1">
      <c r="A1038" s="1"/>
      <c r="B1038" s="38" t="s">
        <v>26</v>
      </c>
      <c r="C1038" s="39" t="s">
        <v>2764</v>
      </c>
      <c r="D1038" s="160" t="s">
        <v>2765</v>
      </c>
      <c r="E1038" s="38"/>
      <c r="F1038" s="38"/>
      <c r="G1038" s="38"/>
      <c r="H1038" s="117" t="s">
        <v>170</v>
      </c>
      <c r="I1038" s="159" t="s">
        <v>2766</v>
      </c>
      <c r="J1038" s="42" t="str">
        <f>IFERROR(__xludf.DUMMYFUNCTION("GOOGLETRANSLATE(I1038,""en"",""pl"")"),"Mocowanie CS 1/1,8"" 3,9-10,0 mm, F1,5-16C, asferyczny, 8-megapikselowy, zmiennoogniskowy napęd iCS, korekcja podczerwieni, z przewodem obiektywu 31 cm")</f>
        <v>Mocowanie CS 1/1,8" 3,9-10,0 mm, F1,5-16C, asferyczny, 8-megapikselowy, zmiennoogniskowy napęd iCS, korekcja podczerwieni, z przewodem obiektywu 31 cm</v>
      </c>
      <c r="K1038" s="38"/>
      <c r="L1038" s="44">
        <v>358.0</v>
      </c>
      <c r="M1038" s="8"/>
      <c r="N1038" s="45" t="s">
        <v>22</v>
      </c>
      <c r="O1038" s="97"/>
      <c r="P1038" s="11"/>
      <c r="Q1038" s="9"/>
      <c r="R1038" s="59"/>
      <c r="S1038" s="59"/>
      <c r="T1038" s="59"/>
      <c r="U1038" s="9"/>
      <c r="V1038" s="9"/>
      <c r="W1038" s="9"/>
      <c r="X1038" s="9"/>
      <c r="Y1038" s="9"/>
      <c r="Z1038" s="9"/>
      <c r="AA1038" s="9"/>
      <c r="AB1038" s="9"/>
      <c r="AC1038" s="60"/>
      <c r="AD1038" s="61"/>
      <c r="AE1038" s="61"/>
      <c r="AF1038" s="61"/>
      <c r="AG1038" s="61"/>
      <c r="AH1038" s="61"/>
      <c r="AI1038" s="61"/>
      <c r="AJ1038" s="61"/>
      <c r="AK1038" s="61"/>
      <c r="AL1038" s="61"/>
      <c r="AM1038" s="61"/>
      <c r="AN1038" s="61"/>
      <c r="AO1038" s="61"/>
      <c r="AP1038" s="61"/>
    </row>
    <row r="1039" ht="46.5" customHeight="1">
      <c r="A1039" s="1"/>
      <c r="B1039" s="38" t="s">
        <v>26</v>
      </c>
      <c r="C1039" s="39" t="s">
        <v>2767</v>
      </c>
      <c r="D1039" s="160" t="s">
        <v>2768</v>
      </c>
      <c r="E1039" s="38"/>
      <c r="F1039" s="38"/>
      <c r="G1039" s="38"/>
      <c r="H1039" s="117" t="s">
        <v>170</v>
      </c>
      <c r="I1039" s="159" t="s">
        <v>2769</v>
      </c>
      <c r="J1039" s="42" t="str">
        <f>IFERROR(__xludf.DUMMYFUNCTION("GOOGLETRANSLATE(I1039,""en"",""pl"")"),"Mocowanie CS 1/1,8"" 9,0-50,0 mm F1,5-360C, asferyczny, 12-megapikselowy, zmiennoogniskowy, ze złączem P-Iris, napęd, korekcja podczerwieni, przewód obiektywu 31 cm")</f>
        <v>Mocowanie CS 1/1,8" 9,0-50,0 mm F1,5-360C, asferyczny, 12-megapikselowy, zmiennoogniskowy, ze złączem P-Iris, napęd, korekcja podczerwieni, przewód obiektywu 31 cm</v>
      </c>
      <c r="K1039" s="38"/>
      <c r="L1039" s="44">
        <v>764.0</v>
      </c>
      <c r="M1039" s="8"/>
      <c r="N1039" s="45" t="s">
        <v>22</v>
      </c>
      <c r="O1039" s="97"/>
      <c r="P1039" s="11"/>
      <c r="Q1039" s="9"/>
      <c r="R1039" s="59"/>
      <c r="S1039" s="59"/>
      <c r="T1039" s="59"/>
      <c r="U1039" s="9"/>
      <c r="V1039" s="9"/>
      <c r="W1039" s="9"/>
      <c r="X1039" s="9"/>
      <c r="Y1039" s="9"/>
      <c r="Z1039" s="9"/>
      <c r="AA1039" s="9"/>
      <c r="AB1039" s="9"/>
      <c r="AC1039" s="60"/>
      <c r="AD1039" s="61"/>
      <c r="AE1039" s="61"/>
      <c r="AF1039" s="61"/>
      <c r="AG1039" s="61"/>
      <c r="AH1039" s="61"/>
      <c r="AI1039" s="61"/>
      <c r="AJ1039" s="61"/>
      <c r="AK1039" s="61"/>
      <c r="AL1039" s="61"/>
      <c r="AM1039" s="61"/>
      <c r="AN1039" s="61"/>
      <c r="AO1039" s="61"/>
      <c r="AP1039" s="61"/>
    </row>
    <row r="1040" ht="26.25" customHeight="1">
      <c r="A1040" s="1"/>
      <c r="B1040" s="161"/>
      <c r="C1040" s="149"/>
      <c r="D1040" s="162"/>
      <c r="E1040" s="20"/>
      <c r="F1040" s="20"/>
      <c r="G1040" s="20"/>
      <c r="H1040" s="49"/>
      <c r="I1040" s="163"/>
      <c r="J1040" s="21"/>
      <c r="K1040" s="20"/>
      <c r="L1040" s="164"/>
      <c r="M1040" s="8"/>
      <c r="N1040" s="165"/>
      <c r="O1040" s="97"/>
      <c r="P1040" s="11"/>
      <c r="Q1040" s="9"/>
      <c r="R1040" s="59"/>
      <c r="S1040" s="59"/>
      <c r="T1040" s="59"/>
      <c r="U1040" s="9"/>
      <c r="V1040" s="9"/>
      <c r="W1040" s="9"/>
      <c r="X1040" s="9"/>
      <c r="Y1040" s="9"/>
      <c r="Z1040" s="9"/>
      <c r="AA1040" s="9"/>
      <c r="AB1040" s="9"/>
      <c r="AC1040" s="60"/>
      <c r="AD1040" s="61"/>
      <c r="AE1040" s="61"/>
      <c r="AF1040" s="61"/>
      <c r="AG1040" s="61"/>
      <c r="AH1040" s="61"/>
      <c r="AI1040" s="61"/>
      <c r="AJ1040" s="61"/>
      <c r="AK1040" s="61"/>
      <c r="AL1040" s="61"/>
      <c r="AM1040" s="61"/>
      <c r="AN1040" s="61"/>
      <c r="AO1040" s="61"/>
      <c r="AP1040" s="61"/>
    </row>
    <row r="1041" ht="46.5" customHeight="1">
      <c r="A1041" s="1"/>
      <c r="B1041" s="2"/>
      <c r="C1041" s="2"/>
      <c r="D1041" s="3"/>
      <c r="E1041" s="166"/>
      <c r="F1041" s="166"/>
      <c r="G1041" s="166"/>
      <c r="H1041" s="167"/>
      <c r="I1041" s="5"/>
      <c r="J1041" s="5"/>
      <c r="K1041" s="6"/>
      <c r="L1041" s="168"/>
      <c r="M1041" s="8"/>
      <c r="N1041" s="2"/>
      <c r="O1041" s="58"/>
      <c r="P1041" s="11"/>
      <c r="Q1041" s="9"/>
      <c r="R1041" s="59"/>
      <c r="S1041" s="59"/>
      <c r="T1041" s="59"/>
      <c r="U1041" s="9"/>
      <c r="V1041" s="9"/>
      <c r="W1041" s="9"/>
      <c r="X1041" s="9"/>
      <c r="Y1041" s="9"/>
      <c r="Z1041" s="9"/>
      <c r="AA1041" s="9"/>
      <c r="AB1041" s="9"/>
      <c r="AC1041" s="60"/>
      <c r="AD1041" s="61"/>
      <c r="AE1041" s="61"/>
      <c r="AF1041" s="61"/>
      <c r="AG1041" s="61"/>
      <c r="AH1041" s="61"/>
      <c r="AI1041" s="61"/>
      <c r="AJ1041" s="61"/>
      <c r="AK1041" s="61"/>
      <c r="AL1041" s="61"/>
      <c r="AM1041" s="61"/>
      <c r="AN1041" s="61"/>
      <c r="AO1041" s="61"/>
      <c r="AP1041" s="61"/>
    </row>
  </sheetData>
  <autoFilter ref="$B$7:$N$1040"/>
  <mergeCells count="1">
    <mergeCell ref="N4:N5"/>
  </mergeCells>
  <dataValidations>
    <dataValidation type="list" allowBlank="1" showErrorMessage="1" sqref="N2">
      <formula1>$V$4:$V$5</formula1>
    </dataValidation>
    <dataValidation type="list" allowBlank="1" showErrorMessage="1" sqref="L3 L4:M5 L7:M7 L830:M830">
      <formula1>Currency</formula1>
    </dataValidation>
  </dataValidations>
  <hyperlinks>
    <hyperlink r:id="rId1" ref="K9"/>
    <hyperlink r:id="rId2" ref="K10"/>
    <hyperlink r:id="rId3" ref="K11"/>
    <hyperlink r:id="rId4" ref="K12"/>
    <hyperlink r:id="rId5" ref="K13"/>
    <hyperlink r:id="rId6" ref="K14"/>
    <hyperlink r:id="rId7" ref="K15"/>
    <hyperlink r:id="rId8" ref="K16"/>
    <hyperlink r:id="rId9" ref="K17"/>
    <hyperlink r:id="rId10" ref="K18"/>
    <hyperlink r:id="rId11" ref="K19"/>
    <hyperlink r:id="rId12" ref="K20"/>
    <hyperlink r:id="rId13" ref="K21"/>
    <hyperlink r:id="rId14" ref="K22"/>
    <hyperlink r:id="rId15" ref="K23"/>
    <hyperlink r:id="rId16" ref="K24"/>
    <hyperlink r:id="rId17" ref="K25"/>
    <hyperlink r:id="rId18" ref="K26"/>
    <hyperlink r:id="rId19" ref="K27"/>
    <hyperlink r:id="rId20" ref="K28"/>
    <hyperlink r:id="rId21" ref="K29"/>
    <hyperlink r:id="rId22" ref="K30"/>
    <hyperlink r:id="rId23" ref="K31"/>
    <hyperlink r:id="rId24" ref="K32"/>
    <hyperlink r:id="rId25" ref="K33"/>
    <hyperlink r:id="rId26" ref="K34"/>
    <hyperlink r:id="rId27" ref="K35"/>
    <hyperlink r:id="rId28" ref="K36"/>
    <hyperlink r:id="rId29" ref="K37"/>
    <hyperlink r:id="rId30" ref="K38"/>
    <hyperlink r:id="rId31" ref="K39"/>
    <hyperlink r:id="rId32" ref="K40"/>
    <hyperlink r:id="rId33" ref="K41"/>
    <hyperlink r:id="rId34" ref="K42"/>
    <hyperlink r:id="rId35" ref="K43"/>
    <hyperlink r:id="rId36" ref="K44"/>
    <hyperlink r:id="rId37" ref="K45"/>
    <hyperlink r:id="rId38" ref="K46"/>
    <hyperlink r:id="rId39" ref="K47"/>
    <hyperlink r:id="rId40" ref="K48"/>
    <hyperlink r:id="rId41" ref="K49"/>
    <hyperlink r:id="rId42" ref="K50"/>
    <hyperlink r:id="rId43" ref="K51"/>
    <hyperlink r:id="rId44" ref="K52"/>
    <hyperlink r:id="rId45" ref="K53"/>
    <hyperlink r:id="rId46" ref="K54"/>
    <hyperlink r:id="rId47" ref="K55"/>
    <hyperlink r:id="rId48" ref="K56"/>
    <hyperlink r:id="rId49" ref="K57"/>
    <hyperlink r:id="rId50" ref="K58"/>
    <hyperlink r:id="rId51" ref="K59"/>
    <hyperlink r:id="rId52" ref="K60"/>
    <hyperlink r:id="rId53" ref="K61"/>
    <hyperlink r:id="rId54" ref="K62"/>
    <hyperlink r:id="rId55" ref="K63"/>
    <hyperlink r:id="rId56" ref="K64"/>
    <hyperlink r:id="rId57" ref="K65"/>
    <hyperlink r:id="rId58" ref="K66"/>
    <hyperlink r:id="rId59" ref="K67"/>
    <hyperlink r:id="rId60" ref="K68"/>
    <hyperlink r:id="rId61" ref="K69"/>
    <hyperlink r:id="rId62" ref="K70"/>
    <hyperlink r:id="rId63" ref="K71"/>
    <hyperlink r:id="rId64" ref="K72"/>
    <hyperlink r:id="rId65" ref="K73"/>
    <hyperlink r:id="rId66" ref="K74"/>
    <hyperlink r:id="rId67" ref="K75"/>
    <hyperlink r:id="rId68" ref="K76"/>
    <hyperlink r:id="rId69" ref="K78"/>
    <hyperlink r:id="rId70" ref="K79"/>
    <hyperlink r:id="rId71" ref="K80"/>
    <hyperlink r:id="rId72" ref="K81"/>
    <hyperlink r:id="rId73" ref="K82"/>
    <hyperlink r:id="rId74" ref="K83"/>
    <hyperlink r:id="rId75" ref="K84"/>
    <hyperlink r:id="rId76" ref="K85"/>
    <hyperlink r:id="rId77" ref="K86"/>
    <hyperlink r:id="rId78" ref="K87"/>
    <hyperlink r:id="rId79" ref="K88"/>
    <hyperlink r:id="rId80" ref="K89"/>
    <hyperlink r:id="rId81" ref="K90"/>
    <hyperlink r:id="rId82" ref="K91"/>
    <hyperlink r:id="rId83" ref="K92"/>
    <hyperlink r:id="rId84" ref="K93"/>
    <hyperlink r:id="rId85" ref="K94"/>
    <hyperlink r:id="rId86" ref="K95"/>
    <hyperlink r:id="rId87" ref="K96"/>
    <hyperlink r:id="rId88" ref="K97"/>
    <hyperlink r:id="rId89" ref="K98"/>
    <hyperlink r:id="rId90" ref="K99"/>
    <hyperlink r:id="rId91" ref="K100"/>
    <hyperlink r:id="rId92" ref="K101"/>
    <hyperlink r:id="rId93" ref="K103"/>
    <hyperlink r:id="rId94" ref="K104"/>
    <hyperlink r:id="rId95" ref="K105"/>
    <hyperlink r:id="rId96" ref="K106"/>
    <hyperlink r:id="rId97" ref="K107"/>
    <hyperlink r:id="rId98" ref="K108"/>
    <hyperlink r:id="rId99" ref="K109"/>
    <hyperlink r:id="rId100" ref="K110"/>
    <hyperlink r:id="rId101" ref="K111"/>
    <hyperlink r:id="rId102" ref="K112"/>
    <hyperlink r:id="rId103" ref="K113"/>
    <hyperlink r:id="rId104" ref="K114"/>
    <hyperlink r:id="rId105" ref="K115"/>
    <hyperlink r:id="rId106" ref="K116"/>
    <hyperlink r:id="rId107" ref="K117"/>
    <hyperlink r:id="rId108" ref="K118"/>
    <hyperlink r:id="rId109" ref="K119"/>
    <hyperlink r:id="rId110" ref="K120"/>
    <hyperlink r:id="rId111" ref="K121"/>
    <hyperlink r:id="rId112" ref="K122"/>
    <hyperlink r:id="rId113" ref="K123"/>
    <hyperlink r:id="rId114" ref="K124"/>
    <hyperlink r:id="rId115" ref="K125"/>
    <hyperlink r:id="rId116" ref="K126"/>
    <hyperlink r:id="rId117" ref="K127"/>
    <hyperlink r:id="rId118" ref="K128"/>
    <hyperlink r:id="rId119" ref="K129"/>
    <hyperlink r:id="rId120" ref="K130"/>
    <hyperlink r:id="rId121" ref="K131"/>
    <hyperlink r:id="rId122" ref="K132"/>
    <hyperlink r:id="rId123" ref="K133"/>
    <hyperlink r:id="rId124" ref="K134"/>
    <hyperlink r:id="rId125" ref="K135"/>
    <hyperlink r:id="rId126" ref="K136"/>
    <hyperlink r:id="rId127" ref="K137"/>
    <hyperlink r:id="rId128" ref="K138"/>
    <hyperlink r:id="rId129" ref="K139"/>
    <hyperlink r:id="rId130" ref="K140"/>
    <hyperlink r:id="rId131" ref="K141"/>
    <hyperlink r:id="rId132" ref="K142"/>
    <hyperlink r:id="rId133" ref="K143"/>
    <hyperlink r:id="rId134" ref="K144"/>
    <hyperlink r:id="rId135" ref="K145"/>
    <hyperlink r:id="rId136" ref="K146"/>
    <hyperlink r:id="rId137" ref="K147"/>
    <hyperlink r:id="rId138" ref="K148"/>
    <hyperlink r:id="rId139" ref="K149"/>
    <hyperlink r:id="rId140" ref="K150"/>
    <hyperlink r:id="rId141" ref="K152"/>
    <hyperlink r:id="rId142" ref="K153"/>
    <hyperlink r:id="rId143" ref="K154"/>
    <hyperlink r:id="rId144" ref="K155"/>
    <hyperlink r:id="rId145" ref="K156"/>
    <hyperlink r:id="rId146" ref="K157"/>
    <hyperlink r:id="rId147" ref="K158"/>
    <hyperlink r:id="rId148" ref="K159"/>
    <hyperlink r:id="rId149" ref="K160"/>
    <hyperlink r:id="rId150" ref="K161"/>
    <hyperlink r:id="rId151" ref="K162"/>
    <hyperlink r:id="rId152" ref="K163"/>
    <hyperlink r:id="rId153" ref="K164"/>
    <hyperlink r:id="rId154" ref="K165"/>
    <hyperlink r:id="rId155" ref="K166"/>
    <hyperlink r:id="rId156" ref="K167"/>
    <hyperlink r:id="rId157" ref="K168"/>
    <hyperlink r:id="rId158" ref="K169"/>
    <hyperlink r:id="rId159" ref="K170"/>
    <hyperlink r:id="rId160" ref="K171"/>
    <hyperlink r:id="rId161" ref="K172"/>
    <hyperlink r:id="rId162" ref="K173"/>
    <hyperlink r:id="rId163" ref="K174"/>
    <hyperlink r:id="rId164" ref="K175"/>
    <hyperlink r:id="rId165" ref="K176"/>
    <hyperlink r:id="rId166" ref="K177"/>
    <hyperlink r:id="rId167" ref="K178"/>
    <hyperlink r:id="rId168" ref="K179"/>
    <hyperlink r:id="rId169" ref="K180"/>
    <hyperlink r:id="rId170" ref="K182"/>
    <hyperlink r:id="rId171" ref="K183"/>
    <hyperlink r:id="rId172" ref="K184"/>
    <hyperlink r:id="rId173" ref="K186"/>
    <hyperlink r:id="rId174" ref="K187"/>
    <hyperlink r:id="rId175" ref="K188"/>
    <hyperlink r:id="rId176" ref="K189"/>
    <hyperlink r:id="rId177" ref="K190"/>
    <hyperlink r:id="rId178" ref="K191"/>
    <hyperlink r:id="rId179" ref="K192"/>
    <hyperlink r:id="rId180" ref="K193"/>
    <hyperlink r:id="rId181" ref="K194"/>
    <hyperlink r:id="rId182" ref="K195"/>
    <hyperlink r:id="rId183" ref="K196"/>
    <hyperlink r:id="rId184" ref="K197"/>
    <hyperlink r:id="rId185" ref="K198"/>
    <hyperlink r:id="rId186" ref="K199"/>
    <hyperlink r:id="rId187" ref="K200"/>
    <hyperlink r:id="rId188" ref="K201"/>
    <hyperlink r:id="rId189" ref="K202"/>
    <hyperlink r:id="rId190" ref="K203"/>
    <hyperlink r:id="rId191" ref="K204"/>
    <hyperlink r:id="rId192" ref="K205"/>
    <hyperlink r:id="rId193" ref="K206"/>
    <hyperlink r:id="rId194" ref="K207"/>
    <hyperlink r:id="rId195" ref="K208"/>
    <hyperlink r:id="rId196" ref="K209"/>
    <hyperlink r:id="rId197" ref="K210"/>
    <hyperlink r:id="rId198" ref="K211"/>
    <hyperlink r:id="rId199" ref="K212"/>
    <hyperlink r:id="rId200" ref="K213"/>
    <hyperlink r:id="rId201" ref="K214"/>
    <hyperlink r:id="rId202" ref="K215"/>
    <hyperlink r:id="rId203" ref="K216"/>
    <hyperlink r:id="rId204" ref="K217"/>
    <hyperlink r:id="rId205" ref="K218"/>
    <hyperlink r:id="rId206" ref="K219"/>
    <hyperlink r:id="rId207" ref="K220"/>
    <hyperlink r:id="rId208" ref="K221"/>
    <hyperlink r:id="rId209" ref="K222"/>
    <hyperlink r:id="rId210" ref="K223"/>
    <hyperlink r:id="rId211" ref="K224"/>
    <hyperlink r:id="rId212" ref="K225"/>
    <hyperlink r:id="rId213" ref="K226"/>
    <hyperlink r:id="rId214" ref="K227"/>
    <hyperlink r:id="rId215" ref="K228"/>
    <hyperlink r:id="rId216" ref="K229"/>
    <hyperlink r:id="rId217" ref="K230"/>
    <hyperlink r:id="rId218" ref="K231"/>
    <hyperlink r:id="rId219" ref="K232"/>
    <hyperlink r:id="rId220" ref="K233"/>
    <hyperlink r:id="rId221" ref="K234"/>
    <hyperlink r:id="rId222" ref="K235"/>
    <hyperlink r:id="rId223" ref="K236"/>
    <hyperlink r:id="rId224" ref="K237"/>
    <hyperlink r:id="rId225" ref="K238"/>
    <hyperlink r:id="rId226" ref="K239"/>
    <hyperlink r:id="rId227" ref="K240"/>
    <hyperlink r:id="rId228" ref="K241"/>
    <hyperlink r:id="rId229" ref="K242"/>
    <hyperlink r:id="rId230" ref="K243"/>
    <hyperlink r:id="rId231" ref="K244"/>
    <hyperlink r:id="rId232" ref="K245"/>
    <hyperlink r:id="rId233" ref="K246"/>
    <hyperlink r:id="rId234" ref="K247"/>
    <hyperlink r:id="rId235" ref="K248"/>
    <hyperlink r:id="rId236" ref="K249"/>
    <hyperlink r:id="rId237" ref="K250"/>
    <hyperlink r:id="rId238" ref="K251"/>
    <hyperlink r:id="rId239" ref="K252"/>
    <hyperlink r:id="rId240" ref="K253"/>
    <hyperlink r:id="rId241" ref="K254"/>
    <hyperlink r:id="rId242" ref="K255"/>
    <hyperlink r:id="rId243" ref="K256"/>
    <hyperlink r:id="rId244" ref="K257"/>
    <hyperlink r:id="rId245" ref="K258"/>
    <hyperlink r:id="rId246" ref="K259"/>
    <hyperlink r:id="rId247" ref="K260"/>
    <hyperlink r:id="rId248" ref="K261"/>
    <hyperlink r:id="rId249" ref="K262"/>
    <hyperlink r:id="rId250" ref="K263"/>
    <hyperlink r:id="rId251" ref="K264"/>
    <hyperlink r:id="rId252" ref="K265"/>
    <hyperlink r:id="rId253" ref="K266"/>
    <hyperlink r:id="rId254" ref="K267"/>
    <hyperlink r:id="rId255" ref="K268"/>
    <hyperlink r:id="rId256" ref="K269"/>
    <hyperlink r:id="rId257" ref="K270"/>
    <hyperlink r:id="rId258" ref="K271"/>
    <hyperlink r:id="rId259" ref="K272"/>
    <hyperlink r:id="rId260" ref="K273"/>
    <hyperlink r:id="rId261" ref="K274"/>
    <hyperlink r:id="rId262" ref="K275"/>
    <hyperlink r:id="rId263" ref="K276"/>
    <hyperlink r:id="rId264" ref="K277"/>
    <hyperlink r:id="rId265" ref="K278"/>
    <hyperlink r:id="rId266" ref="K279"/>
    <hyperlink r:id="rId267" ref="K280"/>
    <hyperlink r:id="rId268" ref="K281"/>
    <hyperlink r:id="rId269" ref="K282"/>
    <hyperlink r:id="rId270" ref="K283"/>
    <hyperlink r:id="rId271" ref="K284"/>
    <hyperlink r:id="rId272" ref="K285"/>
    <hyperlink r:id="rId273" ref="K286"/>
    <hyperlink r:id="rId274" ref="K287"/>
    <hyperlink r:id="rId275" ref="K288"/>
    <hyperlink r:id="rId276" ref="K289"/>
    <hyperlink r:id="rId277" ref="K290"/>
    <hyperlink r:id="rId278" ref="K291"/>
    <hyperlink r:id="rId279" ref="K292"/>
    <hyperlink r:id="rId280" ref="K294"/>
    <hyperlink r:id="rId281" ref="K295"/>
    <hyperlink r:id="rId282" ref="K296"/>
    <hyperlink r:id="rId283" ref="K297"/>
    <hyperlink r:id="rId284" ref="K298"/>
    <hyperlink r:id="rId285" ref="K299"/>
    <hyperlink r:id="rId286" ref="K300"/>
    <hyperlink r:id="rId287" ref="K302"/>
    <hyperlink r:id="rId288" ref="K303"/>
    <hyperlink r:id="rId289" ref="K304"/>
    <hyperlink r:id="rId290" ref="K305"/>
    <hyperlink r:id="rId291" ref="K306"/>
    <hyperlink r:id="rId292" ref="K307"/>
    <hyperlink r:id="rId293" ref="K308"/>
    <hyperlink r:id="rId294" ref="K309"/>
    <hyperlink r:id="rId295" ref="K310"/>
    <hyperlink r:id="rId296" ref="K311"/>
    <hyperlink r:id="rId297" ref="K312"/>
    <hyperlink r:id="rId298" ref="K313"/>
    <hyperlink r:id="rId299" ref="K314"/>
    <hyperlink r:id="rId300" ref="K315"/>
    <hyperlink r:id="rId301" ref="K316"/>
    <hyperlink r:id="rId302" ref="K317"/>
    <hyperlink r:id="rId303" ref="K318"/>
    <hyperlink r:id="rId304" ref="K319"/>
    <hyperlink r:id="rId305" ref="K320"/>
    <hyperlink r:id="rId306" ref="K321"/>
    <hyperlink r:id="rId307" ref="K322"/>
    <hyperlink r:id="rId308" ref="K323"/>
    <hyperlink r:id="rId309" ref="K324"/>
    <hyperlink r:id="rId310" ref="K325"/>
    <hyperlink r:id="rId311" ref="K326"/>
    <hyperlink r:id="rId312" ref="K327"/>
    <hyperlink r:id="rId313" ref="K328"/>
    <hyperlink r:id="rId314" ref="K329"/>
    <hyperlink r:id="rId315" ref="K330"/>
    <hyperlink r:id="rId316" ref="K331"/>
    <hyperlink r:id="rId317" ref="K332"/>
    <hyperlink r:id="rId318" ref="K333"/>
    <hyperlink r:id="rId319" ref="K334"/>
    <hyperlink r:id="rId320" ref="K335"/>
    <hyperlink r:id="rId321" ref="K336"/>
    <hyperlink r:id="rId322" ref="K337"/>
    <hyperlink r:id="rId323" ref="K338"/>
    <hyperlink r:id="rId324" ref="K339"/>
    <hyperlink r:id="rId325" ref="K340"/>
    <hyperlink r:id="rId326" ref="K341"/>
    <hyperlink r:id="rId327" ref="K342"/>
    <hyperlink r:id="rId328" ref="K343"/>
    <hyperlink r:id="rId329" ref="K344"/>
    <hyperlink r:id="rId330" ref="K345"/>
    <hyperlink r:id="rId331" ref="K347"/>
    <hyperlink r:id="rId332" ref="K348"/>
    <hyperlink r:id="rId333" ref="K349"/>
    <hyperlink r:id="rId334" ref="K350"/>
    <hyperlink r:id="rId335" ref="K351"/>
    <hyperlink r:id="rId336" ref="K352"/>
    <hyperlink r:id="rId337" ref="K353"/>
    <hyperlink r:id="rId338" ref="K354"/>
    <hyperlink r:id="rId339" ref="K355"/>
    <hyperlink r:id="rId340" ref="K356"/>
    <hyperlink r:id="rId341" ref="K357"/>
    <hyperlink r:id="rId342" ref="K358"/>
    <hyperlink r:id="rId343" ref="K359"/>
    <hyperlink r:id="rId344" ref="K360"/>
    <hyperlink r:id="rId345" ref="K361"/>
    <hyperlink r:id="rId346" ref="K362"/>
    <hyperlink r:id="rId347" ref="K363"/>
    <hyperlink r:id="rId348" ref="K364"/>
    <hyperlink r:id="rId349" ref="K365"/>
    <hyperlink r:id="rId350" ref="K369"/>
    <hyperlink r:id="rId351" ref="K370"/>
    <hyperlink r:id="rId352" ref="K371"/>
    <hyperlink r:id="rId353" ref="K372"/>
    <hyperlink r:id="rId354" ref="K373"/>
    <hyperlink r:id="rId355" ref="K374"/>
    <hyperlink r:id="rId356" ref="K375"/>
    <hyperlink r:id="rId357" ref="K376"/>
    <hyperlink r:id="rId358" ref="K377"/>
    <hyperlink r:id="rId359" ref="K378"/>
    <hyperlink r:id="rId360" ref="K380"/>
    <hyperlink r:id="rId361" ref="K381"/>
    <hyperlink r:id="rId362" ref="K382"/>
    <hyperlink r:id="rId363" ref="K384"/>
    <hyperlink r:id="rId364" ref="K385"/>
    <hyperlink r:id="rId365" ref="K386"/>
    <hyperlink r:id="rId366" ref="K387"/>
    <hyperlink r:id="rId367" ref="K388"/>
    <hyperlink r:id="rId368" ref="K389"/>
    <hyperlink r:id="rId369" ref="K390"/>
    <hyperlink r:id="rId370" ref="K391"/>
    <hyperlink r:id="rId371" ref="K392"/>
    <hyperlink r:id="rId372" ref="K393"/>
    <hyperlink r:id="rId373" ref="K394"/>
    <hyperlink r:id="rId374" ref="K395"/>
    <hyperlink r:id="rId375" ref="K396"/>
    <hyperlink r:id="rId376" ref="K398"/>
    <hyperlink r:id="rId377" ref="K399"/>
    <hyperlink r:id="rId378" ref="K400"/>
    <hyperlink r:id="rId379" ref="K401"/>
    <hyperlink r:id="rId380" ref="K402"/>
    <hyperlink r:id="rId381" ref="K403"/>
    <hyperlink r:id="rId382" ref="K404"/>
    <hyperlink r:id="rId383" ref="K405"/>
    <hyperlink r:id="rId384" ref="K406"/>
    <hyperlink r:id="rId385" ref="K407"/>
    <hyperlink r:id="rId386" ref="K408"/>
    <hyperlink r:id="rId387" ref="K409"/>
    <hyperlink r:id="rId388" ref="K410"/>
    <hyperlink r:id="rId389" ref="K411"/>
    <hyperlink r:id="rId390" ref="K412"/>
    <hyperlink r:id="rId391" ref="K413"/>
    <hyperlink r:id="rId392" ref="K414"/>
    <hyperlink r:id="rId393" ref="K415"/>
    <hyperlink r:id="rId394" ref="K416"/>
    <hyperlink r:id="rId395" ref="K417"/>
    <hyperlink r:id="rId396" ref="K418"/>
    <hyperlink r:id="rId397" ref="K419"/>
    <hyperlink r:id="rId398" ref="K420"/>
    <hyperlink r:id="rId399" ref="K421"/>
    <hyperlink r:id="rId400" ref="K422"/>
    <hyperlink r:id="rId401" ref="K423"/>
    <hyperlink r:id="rId402" ref="K424"/>
    <hyperlink r:id="rId403" ref="K425"/>
    <hyperlink r:id="rId404" ref="K434"/>
    <hyperlink r:id="rId405" ref="K435"/>
    <hyperlink r:id="rId406" ref="K436"/>
    <hyperlink r:id="rId407" ref="K437"/>
    <hyperlink r:id="rId408" ref="K438"/>
    <hyperlink r:id="rId409" ref="K439"/>
    <hyperlink r:id="rId410" ref="K440"/>
    <hyperlink r:id="rId411" ref="K441"/>
    <hyperlink r:id="rId412" ref="K442"/>
    <hyperlink r:id="rId413" ref="K444"/>
    <hyperlink r:id="rId414" ref="K445"/>
    <hyperlink r:id="rId415" ref="K446"/>
    <hyperlink r:id="rId416" ref="K447"/>
    <hyperlink r:id="rId417" ref="K448"/>
    <hyperlink r:id="rId418" ref="K449"/>
    <hyperlink r:id="rId419" ref="K450"/>
    <hyperlink r:id="rId420" ref="K451"/>
    <hyperlink r:id="rId421" ref="K452"/>
    <hyperlink r:id="rId422" ref="K453"/>
    <hyperlink r:id="rId423" ref="K454"/>
    <hyperlink r:id="rId424" ref="K455"/>
    <hyperlink r:id="rId425" ref="K456"/>
    <hyperlink r:id="rId426" ref="K457"/>
    <hyperlink r:id="rId427" ref="K458"/>
    <hyperlink r:id="rId428" ref="K459"/>
    <hyperlink r:id="rId429" ref="K460"/>
    <hyperlink r:id="rId430" ref="K461"/>
    <hyperlink r:id="rId431" ref="K462"/>
    <hyperlink r:id="rId432" ref="K463"/>
    <hyperlink r:id="rId433" ref="K464"/>
    <hyperlink r:id="rId434" ref="K465"/>
    <hyperlink r:id="rId435" ref="K466"/>
    <hyperlink r:id="rId436" ref="K467"/>
    <hyperlink r:id="rId437" ref="K468"/>
    <hyperlink r:id="rId438" ref="K469"/>
    <hyperlink r:id="rId439" ref="K470"/>
    <hyperlink r:id="rId440" ref="K471"/>
    <hyperlink r:id="rId441" ref="K472"/>
    <hyperlink r:id="rId442" ref="K473"/>
    <hyperlink r:id="rId443" ref="K474"/>
    <hyperlink r:id="rId444" ref="K475"/>
    <hyperlink r:id="rId445" ref="K476"/>
    <hyperlink r:id="rId446" ref="K477"/>
    <hyperlink r:id="rId447" ref="K478"/>
    <hyperlink r:id="rId448" ref="K480"/>
    <hyperlink r:id="rId449" ref="K481"/>
    <hyperlink r:id="rId450" ref="K482"/>
    <hyperlink r:id="rId451" ref="K483"/>
    <hyperlink r:id="rId452" ref="K484"/>
    <hyperlink r:id="rId453" ref="K485"/>
    <hyperlink r:id="rId454" ref="K486"/>
    <hyperlink r:id="rId455" ref="K487"/>
    <hyperlink r:id="rId456" ref="K488"/>
    <hyperlink r:id="rId457" ref="K489"/>
    <hyperlink r:id="rId458" ref="K490"/>
    <hyperlink r:id="rId459" ref="K491"/>
    <hyperlink r:id="rId460" ref="K492"/>
    <hyperlink r:id="rId461" ref="K493"/>
    <hyperlink r:id="rId462" ref="K494"/>
    <hyperlink r:id="rId463" ref="K495"/>
    <hyperlink r:id="rId464" ref="K496"/>
    <hyperlink r:id="rId465" ref="K497"/>
    <hyperlink r:id="rId466" ref="K498"/>
    <hyperlink r:id="rId467" ref="K499"/>
    <hyperlink r:id="rId468" ref="K500"/>
    <hyperlink r:id="rId469" ref="K501"/>
    <hyperlink r:id="rId470" ref="K502"/>
    <hyperlink r:id="rId471" ref="K503"/>
    <hyperlink r:id="rId472" ref="K504"/>
    <hyperlink r:id="rId473" ref="K505"/>
    <hyperlink r:id="rId474" ref="K506"/>
    <hyperlink r:id="rId475" ref="K507"/>
    <hyperlink r:id="rId476" ref="K508"/>
    <hyperlink r:id="rId477" ref="K509"/>
    <hyperlink r:id="rId478" ref="K510"/>
    <hyperlink r:id="rId479" ref="K511"/>
    <hyperlink r:id="rId480" ref="K512"/>
    <hyperlink r:id="rId481" ref="K513"/>
    <hyperlink r:id="rId482" ref="K514"/>
    <hyperlink r:id="rId483" ref="K515"/>
    <hyperlink r:id="rId484" ref="K516"/>
    <hyperlink r:id="rId485" ref="K517"/>
    <hyperlink r:id="rId486" ref="K518"/>
    <hyperlink r:id="rId487" ref="K519"/>
    <hyperlink r:id="rId488" ref="K520"/>
    <hyperlink r:id="rId489" ref="K521"/>
    <hyperlink r:id="rId490" ref="K522"/>
    <hyperlink r:id="rId491" ref="K523"/>
    <hyperlink r:id="rId492" ref="K524"/>
    <hyperlink r:id="rId493" ref="K525"/>
    <hyperlink r:id="rId494" ref="K526"/>
    <hyperlink r:id="rId495" ref="K527"/>
    <hyperlink r:id="rId496" ref="K528"/>
    <hyperlink r:id="rId497" ref="K529"/>
    <hyperlink r:id="rId498" ref="K532"/>
    <hyperlink r:id="rId499" ref="K533"/>
    <hyperlink r:id="rId500" ref="K534"/>
    <hyperlink r:id="rId501" ref="K535"/>
    <hyperlink r:id="rId502" ref="K536"/>
    <hyperlink r:id="rId503" ref="K537"/>
    <hyperlink r:id="rId504" ref="K538"/>
    <hyperlink r:id="rId505" ref="K539"/>
    <hyperlink r:id="rId506" ref="K540"/>
    <hyperlink r:id="rId507" ref="K541"/>
    <hyperlink r:id="rId508" ref="K542"/>
    <hyperlink r:id="rId509" ref="K543"/>
    <hyperlink r:id="rId510" ref="K544"/>
    <hyperlink r:id="rId511" ref="K545"/>
    <hyperlink r:id="rId512" ref="K546"/>
    <hyperlink r:id="rId513" ref="K547"/>
    <hyperlink r:id="rId514" ref="K548"/>
    <hyperlink r:id="rId515" ref="K549"/>
    <hyperlink r:id="rId516" ref="K550"/>
    <hyperlink r:id="rId517" ref="K551"/>
    <hyperlink r:id="rId518" ref="K552"/>
    <hyperlink r:id="rId519" ref="K553"/>
    <hyperlink r:id="rId520" ref="K554"/>
    <hyperlink r:id="rId521" ref="K555"/>
    <hyperlink r:id="rId522" ref="K556"/>
    <hyperlink r:id="rId523" ref="K557"/>
    <hyperlink r:id="rId524" ref="K558"/>
    <hyperlink r:id="rId525" ref="K559"/>
    <hyperlink r:id="rId526" ref="K560"/>
    <hyperlink r:id="rId527" ref="K561"/>
    <hyperlink r:id="rId528" ref="K562"/>
    <hyperlink r:id="rId529" ref="K563"/>
    <hyperlink r:id="rId530" ref="K564"/>
    <hyperlink r:id="rId531" ref="K565"/>
    <hyperlink r:id="rId532" ref="K566"/>
    <hyperlink r:id="rId533" ref="K567"/>
    <hyperlink r:id="rId534" ref="K568"/>
    <hyperlink r:id="rId535" ref="K569"/>
    <hyperlink r:id="rId536" ref="K570"/>
    <hyperlink r:id="rId537" ref="K571"/>
    <hyperlink r:id="rId538" ref="K572"/>
    <hyperlink r:id="rId539" ref="K573"/>
    <hyperlink r:id="rId540" ref="K574"/>
    <hyperlink r:id="rId541" ref="K575"/>
    <hyperlink r:id="rId542" ref="K576"/>
    <hyperlink r:id="rId543" ref="K577"/>
    <hyperlink r:id="rId544" ref="K578"/>
    <hyperlink r:id="rId545" ref="K579"/>
    <hyperlink r:id="rId546" ref="K580"/>
    <hyperlink r:id="rId547" ref="K581"/>
    <hyperlink r:id="rId548" ref="K582"/>
    <hyperlink r:id="rId549" ref="K583"/>
    <hyperlink r:id="rId550" ref="K584"/>
    <hyperlink r:id="rId551" ref="K585"/>
    <hyperlink r:id="rId552" ref="K586"/>
    <hyperlink r:id="rId553" ref="K587"/>
    <hyperlink r:id="rId554" ref="K588"/>
    <hyperlink r:id="rId555" ref="K589"/>
    <hyperlink r:id="rId556" ref="K590"/>
    <hyperlink r:id="rId557" ref="K591"/>
    <hyperlink r:id="rId558" ref="K592"/>
    <hyperlink r:id="rId559" ref="K593"/>
    <hyperlink r:id="rId560" ref="K594"/>
    <hyperlink r:id="rId561" ref="K595"/>
    <hyperlink r:id="rId562" ref="K596"/>
    <hyperlink r:id="rId563" ref="K597"/>
    <hyperlink r:id="rId564" ref="K598"/>
    <hyperlink r:id="rId565" ref="K599"/>
    <hyperlink r:id="rId566" ref="K600"/>
    <hyperlink r:id="rId567" ref="K601"/>
    <hyperlink r:id="rId568" ref="K602"/>
    <hyperlink r:id="rId569" ref="K603"/>
    <hyperlink r:id="rId570" ref="K604"/>
    <hyperlink r:id="rId571" ref="K605"/>
    <hyperlink r:id="rId572" ref="K606"/>
    <hyperlink r:id="rId573" ref="K607"/>
    <hyperlink r:id="rId574" ref="K608"/>
    <hyperlink r:id="rId575" ref="K609"/>
    <hyperlink r:id="rId576" ref="K610"/>
    <hyperlink r:id="rId577" ref="K611"/>
    <hyperlink r:id="rId578" ref="K612"/>
    <hyperlink r:id="rId579" ref="K613"/>
    <hyperlink r:id="rId580" ref="K614"/>
    <hyperlink r:id="rId581" ref="K615"/>
    <hyperlink r:id="rId582" ref="K616"/>
    <hyperlink r:id="rId583" ref="K617"/>
    <hyperlink r:id="rId584" ref="K618"/>
    <hyperlink r:id="rId585" ref="K619"/>
    <hyperlink r:id="rId586" ref="K620"/>
    <hyperlink r:id="rId587" ref="K621"/>
    <hyperlink r:id="rId588" ref="K622"/>
    <hyperlink r:id="rId589" ref="K623"/>
    <hyperlink r:id="rId590" ref="K624"/>
    <hyperlink r:id="rId591" ref="K625"/>
    <hyperlink r:id="rId592" ref="K626"/>
    <hyperlink r:id="rId593" ref="K627"/>
    <hyperlink r:id="rId594" ref="K628"/>
    <hyperlink r:id="rId595" ref="K629"/>
    <hyperlink r:id="rId596" ref="K630"/>
    <hyperlink r:id="rId597" ref="K631"/>
    <hyperlink r:id="rId598" ref="K632"/>
    <hyperlink r:id="rId599" ref="K633"/>
    <hyperlink r:id="rId600" ref="K634"/>
    <hyperlink r:id="rId601" ref="K635"/>
    <hyperlink r:id="rId602" ref="K636"/>
    <hyperlink r:id="rId603" ref="K637"/>
    <hyperlink r:id="rId604" ref="K638"/>
    <hyperlink r:id="rId605" ref="K639"/>
    <hyperlink r:id="rId606" ref="K640"/>
    <hyperlink r:id="rId607" ref="K641"/>
    <hyperlink r:id="rId608" ref="K642"/>
    <hyperlink r:id="rId609" ref="K643"/>
    <hyperlink r:id="rId610" ref="K644"/>
    <hyperlink r:id="rId611" ref="K645"/>
    <hyperlink r:id="rId612" ref="K646"/>
    <hyperlink r:id="rId613" ref="K647"/>
    <hyperlink r:id="rId614" ref="K648"/>
    <hyperlink r:id="rId615" ref="K649"/>
    <hyperlink r:id="rId616" ref="K650"/>
    <hyperlink r:id="rId617" ref="K651"/>
    <hyperlink r:id="rId618" ref="K652"/>
    <hyperlink r:id="rId619" ref="K653"/>
    <hyperlink r:id="rId620" ref="K654"/>
    <hyperlink r:id="rId621" ref="K655"/>
    <hyperlink r:id="rId622" ref="K656"/>
    <hyperlink r:id="rId623" ref="K657"/>
    <hyperlink r:id="rId624" ref="K658"/>
    <hyperlink r:id="rId625" ref="K659"/>
    <hyperlink r:id="rId626" ref="K660"/>
    <hyperlink r:id="rId627" ref="K661"/>
    <hyperlink r:id="rId628" ref="K662"/>
    <hyperlink r:id="rId629" ref="K663"/>
    <hyperlink r:id="rId630" ref="K664"/>
    <hyperlink r:id="rId631" ref="K665"/>
    <hyperlink r:id="rId632" ref="K666"/>
    <hyperlink r:id="rId633" ref="K667"/>
    <hyperlink r:id="rId634" ref="K668"/>
    <hyperlink r:id="rId635" ref="K669"/>
    <hyperlink r:id="rId636" ref="K670"/>
    <hyperlink r:id="rId637" ref="K671"/>
    <hyperlink r:id="rId638" ref="K672"/>
    <hyperlink r:id="rId639" ref="K673"/>
    <hyperlink r:id="rId640" ref="K674"/>
    <hyperlink r:id="rId641" ref="K675"/>
    <hyperlink r:id="rId642" ref="K676"/>
    <hyperlink r:id="rId643" ref="K677"/>
    <hyperlink r:id="rId644" ref="K678"/>
    <hyperlink r:id="rId645" ref="K679"/>
    <hyperlink r:id="rId646" ref="K680"/>
    <hyperlink r:id="rId647" ref="K681"/>
    <hyperlink r:id="rId648" ref="K682"/>
    <hyperlink r:id="rId649" ref="K683"/>
    <hyperlink r:id="rId650" ref="K684"/>
    <hyperlink r:id="rId651" ref="K685"/>
    <hyperlink r:id="rId652" ref="K686"/>
    <hyperlink r:id="rId653" ref="K687"/>
    <hyperlink r:id="rId654" ref="K688"/>
    <hyperlink r:id="rId655" ref="K689"/>
    <hyperlink r:id="rId656" ref="K690"/>
    <hyperlink r:id="rId657" ref="K691"/>
    <hyperlink r:id="rId658" ref="K692"/>
    <hyperlink r:id="rId659" ref="K693"/>
    <hyperlink r:id="rId660" ref="K694"/>
    <hyperlink r:id="rId661" ref="K695"/>
    <hyperlink r:id="rId662" ref="K696"/>
    <hyperlink r:id="rId663" ref="K697"/>
    <hyperlink r:id="rId664" ref="K698"/>
    <hyperlink r:id="rId665" ref="K699"/>
    <hyperlink r:id="rId666" ref="K700"/>
    <hyperlink r:id="rId667" ref="K701"/>
    <hyperlink r:id="rId668" ref="K702"/>
    <hyperlink r:id="rId669" ref="K703"/>
    <hyperlink r:id="rId670" ref="K704"/>
    <hyperlink r:id="rId671" ref="K705"/>
    <hyperlink r:id="rId672" ref="K706"/>
    <hyperlink r:id="rId673" ref="K707"/>
    <hyperlink r:id="rId674" ref="K708"/>
    <hyperlink r:id="rId675" ref="K709"/>
    <hyperlink r:id="rId676" ref="K710"/>
    <hyperlink r:id="rId677" ref="K711"/>
    <hyperlink r:id="rId678" ref="K712"/>
    <hyperlink r:id="rId679" ref="K713"/>
    <hyperlink r:id="rId680" ref="K714"/>
    <hyperlink r:id="rId681" ref="K715"/>
    <hyperlink r:id="rId682" ref="K716"/>
    <hyperlink r:id="rId683" ref="K717"/>
    <hyperlink r:id="rId684" ref="K718"/>
    <hyperlink r:id="rId685" ref="K719"/>
    <hyperlink r:id="rId686" ref="K720"/>
    <hyperlink r:id="rId687" ref="K721"/>
    <hyperlink r:id="rId688" ref="K722"/>
    <hyperlink r:id="rId689" ref="K723"/>
    <hyperlink r:id="rId690" ref="K724"/>
    <hyperlink r:id="rId691" ref="K725"/>
    <hyperlink r:id="rId692" ref="K726"/>
    <hyperlink r:id="rId693" ref="K727"/>
    <hyperlink r:id="rId694" ref="K728"/>
    <hyperlink r:id="rId695" ref="K729"/>
    <hyperlink r:id="rId696" ref="K730"/>
    <hyperlink r:id="rId697" ref="K731"/>
    <hyperlink r:id="rId698" ref="K732"/>
    <hyperlink r:id="rId699" ref="K733"/>
    <hyperlink r:id="rId700" ref="K734"/>
    <hyperlink r:id="rId701" ref="K735"/>
    <hyperlink r:id="rId702" ref="K736"/>
    <hyperlink r:id="rId703" ref="K737"/>
    <hyperlink r:id="rId704" ref="K738"/>
    <hyperlink r:id="rId705" ref="K739"/>
    <hyperlink r:id="rId706" ref="K740"/>
    <hyperlink r:id="rId707" ref="K741"/>
    <hyperlink r:id="rId708" ref="K742"/>
    <hyperlink r:id="rId709" ref="K743"/>
    <hyperlink r:id="rId710" ref="K744"/>
    <hyperlink r:id="rId711" ref="K745"/>
    <hyperlink r:id="rId712" ref="K746"/>
    <hyperlink r:id="rId713" ref="K747"/>
    <hyperlink r:id="rId714" ref="K749"/>
    <hyperlink r:id="rId715" ref="K750"/>
    <hyperlink r:id="rId716" ref="K751"/>
    <hyperlink r:id="rId717" ref="K752"/>
    <hyperlink r:id="rId718" ref="K753"/>
    <hyperlink r:id="rId719" ref="K754"/>
    <hyperlink r:id="rId720" ref="K755"/>
    <hyperlink r:id="rId721" ref="K756"/>
    <hyperlink r:id="rId722" ref="K757"/>
    <hyperlink r:id="rId723" ref="K758"/>
    <hyperlink r:id="rId724" ref="K759"/>
    <hyperlink r:id="rId725" ref="K760"/>
    <hyperlink r:id="rId726" ref="K761"/>
    <hyperlink r:id="rId727" ref="K762"/>
    <hyperlink r:id="rId728" ref="K763"/>
    <hyperlink r:id="rId729" ref="K765"/>
    <hyperlink r:id="rId730" ref="K767"/>
    <hyperlink r:id="rId731" ref="K768"/>
    <hyperlink r:id="rId732" ref="K770"/>
    <hyperlink r:id="rId733" ref="K771"/>
    <hyperlink r:id="rId734" ref="K772"/>
    <hyperlink r:id="rId735" ref="K773"/>
    <hyperlink r:id="rId736" ref="K774"/>
    <hyperlink r:id="rId737" ref="K775"/>
    <hyperlink r:id="rId738" ref="K776"/>
    <hyperlink r:id="rId739" ref="K777"/>
    <hyperlink r:id="rId740" ref="K778"/>
    <hyperlink r:id="rId741" ref="K779"/>
    <hyperlink r:id="rId742" ref="K780"/>
    <hyperlink r:id="rId743" ref="K781"/>
    <hyperlink r:id="rId744" ref="K782"/>
    <hyperlink r:id="rId745" ref="K783"/>
    <hyperlink r:id="rId746" ref="K784"/>
    <hyperlink r:id="rId747" ref="K785"/>
    <hyperlink r:id="rId748" ref="K786"/>
    <hyperlink r:id="rId749" ref="K787"/>
    <hyperlink r:id="rId750" ref="K788"/>
    <hyperlink r:id="rId751" ref="K789"/>
    <hyperlink r:id="rId752" ref="K790"/>
    <hyperlink r:id="rId753" ref="K791"/>
    <hyperlink r:id="rId754" ref="K792"/>
    <hyperlink r:id="rId755" ref="K793"/>
    <hyperlink r:id="rId756" ref="K794"/>
    <hyperlink r:id="rId757" ref="K795"/>
    <hyperlink r:id="rId758" ref="K796"/>
    <hyperlink r:id="rId759" ref="K797"/>
    <hyperlink r:id="rId760" ref="K798"/>
    <hyperlink r:id="rId761" ref="K799"/>
    <hyperlink r:id="rId762" ref="K800"/>
    <hyperlink r:id="rId763" ref="K801"/>
    <hyperlink r:id="rId764" ref="K802"/>
    <hyperlink r:id="rId765" ref="K804"/>
    <hyperlink r:id="rId766" ref="K806"/>
    <hyperlink r:id="rId767" ref="K807"/>
    <hyperlink r:id="rId768" ref="K809"/>
    <hyperlink r:id="rId769" ref="K810"/>
    <hyperlink r:id="rId770" ref="K811"/>
    <hyperlink r:id="rId771" ref="K812"/>
    <hyperlink r:id="rId772" ref="K814"/>
    <hyperlink r:id="rId773" ref="K815"/>
    <hyperlink r:id="rId774" ref="K816"/>
    <hyperlink r:id="rId775" ref="K817"/>
    <hyperlink r:id="rId776" ref="K818"/>
    <hyperlink r:id="rId777" ref="K819"/>
    <hyperlink r:id="rId778" ref="K820"/>
    <hyperlink r:id="rId779" ref="K821"/>
    <hyperlink r:id="rId780" ref="K822"/>
    <hyperlink r:id="rId781" ref="K823"/>
    <hyperlink r:id="rId782" ref="K824"/>
    <hyperlink r:id="rId783" ref="K825"/>
    <hyperlink r:id="rId784" ref="K826"/>
    <hyperlink r:id="rId785" ref="K827"/>
    <hyperlink r:id="rId786" ref="K828"/>
    <hyperlink r:id="rId787" ref="K829"/>
    <hyperlink r:id="rId788" ref="K832"/>
    <hyperlink r:id="rId789" ref="K833"/>
    <hyperlink r:id="rId790" ref="K834"/>
    <hyperlink r:id="rId791" ref="K835"/>
    <hyperlink r:id="rId792" ref="K836"/>
    <hyperlink r:id="rId793" ref="K837"/>
    <hyperlink r:id="rId794" ref="K838"/>
    <hyperlink r:id="rId795" ref="K839"/>
    <hyperlink r:id="rId796" ref="K840"/>
    <hyperlink r:id="rId797" ref="K841"/>
    <hyperlink r:id="rId798" ref="K856"/>
    <hyperlink r:id="rId799" ref="K857"/>
    <hyperlink r:id="rId800" ref="K858"/>
    <hyperlink r:id="rId801" ref="K859"/>
    <hyperlink r:id="rId802" ref="K860"/>
    <hyperlink r:id="rId803" ref="K861"/>
    <hyperlink r:id="rId804" ref="K862"/>
    <hyperlink r:id="rId805" ref="K863"/>
    <hyperlink r:id="rId806" ref="K864"/>
    <hyperlink r:id="rId807" ref="K865"/>
    <hyperlink r:id="rId808" ref="K866"/>
    <hyperlink r:id="rId809" ref="K867"/>
    <hyperlink r:id="rId810" ref="K925"/>
    <hyperlink r:id="rId811" ref="K926"/>
    <hyperlink r:id="rId812" ref="K927"/>
    <hyperlink r:id="rId813" ref="K928"/>
    <hyperlink r:id="rId814" ref="K929"/>
    <hyperlink r:id="rId815" ref="K930"/>
    <hyperlink r:id="rId816" ref="K931"/>
    <hyperlink r:id="rId817" ref="K934"/>
    <hyperlink r:id="rId818" ref="K953"/>
    <hyperlink r:id="rId819" ref="K954"/>
    <hyperlink r:id="rId820" ref="K955"/>
    <hyperlink r:id="rId821" ref="K956"/>
    <hyperlink r:id="rId822" ref="K957"/>
    <hyperlink r:id="rId823" ref="K958"/>
    <hyperlink r:id="rId824" ref="K960"/>
    <hyperlink r:id="rId825" ref="K961"/>
    <hyperlink r:id="rId826" ref="K962"/>
    <hyperlink r:id="rId827" ref="K963"/>
    <hyperlink r:id="rId828" ref="K964"/>
    <hyperlink r:id="rId829" ref="K965"/>
    <hyperlink r:id="rId830" ref="K966"/>
    <hyperlink r:id="rId831" ref="K967"/>
    <hyperlink r:id="rId832" ref="K968"/>
    <hyperlink r:id="rId833" ref="K969"/>
    <hyperlink r:id="rId834" ref="K984"/>
    <hyperlink r:id="rId835" ref="K986"/>
    <hyperlink r:id="rId836" ref="K987"/>
  </hyperlinks>
  <printOptions horizontalCentered="1"/>
  <pageMargins bottom="0.4" footer="0.0" header="0.0" left="0.05" right="0.05" top="0.08"/>
  <pageSetup paperSize="9" orientation="portrait"/>
  <drawing r:id="rId83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1" width="3.29"/>
    <col customWidth="1" min="2" max="2" width="31.29"/>
    <col customWidth="1" min="3" max="3" width="43.29"/>
    <col customWidth="1" min="4" max="4" width="37.0"/>
    <col customWidth="1" min="5" max="7" width="18.71"/>
    <col customWidth="1" min="8" max="8" width="92.57"/>
    <col customWidth="1" min="9" max="9" width="18.71"/>
    <col customWidth="1" min="10" max="10" width="32.29"/>
    <col customWidth="1" min="11" max="11" width="18.71"/>
    <col customWidth="1" min="12" max="12" width="3.57"/>
    <col customWidth="1" min="13" max="13" width="56.14"/>
    <col customWidth="1" min="14" max="14" width="134.86"/>
    <col customWidth="1" min="15" max="15" width="255.71"/>
    <col customWidth="1" min="16" max="34" width="9.14"/>
  </cols>
  <sheetData>
    <row r="1">
      <c r="A1" s="169"/>
      <c r="B1" s="170"/>
      <c r="C1" s="170"/>
      <c r="D1" s="171"/>
      <c r="E1" s="171"/>
      <c r="F1" s="171"/>
      <c r="G1" s="171"/>
      <c r="H1" s="172"/>
      <c r="I1" s="172"/>
      <c r="J1" s="172"/>
      <c r="K1" s="172"/>
      <c r="L1" s="162"/>
      <c r="M1" s="173"/>
      <c r="N1" s="172"/>
      <c r="O1" s="169"/>
      <c r="P1" s="169"/>
      <c r="Q1" s="169"/>
      <c r="R1" s="169"/>
      <c r="S1" s="169"/>
      <c r="T1" s="169"/>
      <c r="U1" s="169"/>
      <c r="V1" s="169"/>
      <c r="W1" s="169"/>
      <c r="X1" s="169"/>
      <c r="Y1" s="169"/>
      <c r="Z1" s="169"/>
      <c r="AA1" s="169"/>
      <c r="AB1" s="169"/>
      <c r="AC1" s="169"/>
      <c r="AD1" s="169"/>
      <c r="AE1" s="169"/>
      <c r="AF1" s="169"/>
      <c r="AG1" s="169"/>
      <c r="AH1" s="169"/>
    </row>
    <row r="2">
      <c r="A2" s="169"/>
      <c r="B2" s="174" t="s">
        <v>2770</v>
      </c>
      <c r="C2" s="26"/>
      <c r="D2" s="175"/>
      <c r="E2" s="175"/>
      <c r="F2" s="175"/>
      <c r="G2" s="175"/>
      <c r="H2" s="176"/>
      <c r="I2" s="176"/>
      <c r="J2" s="176"/>
      <c r="K2" s="176"/>
      <c r="L2" s="19"/>
      <c r="M2" s="177"/>
      <c r="N2" s="176"/>
      <c r="O2" s="169"/>
      <c r="P2" s="169"/>
      <c r="Q2" s="169"/>
      <c r="R2" s="169"/>
      <c r="S2" s="169"/>
      <c r="T2" s="169"/>
      <c r="U2" s="169"/>
      <c r="V2" s="169"/>
      <c r="W2" s="169"/>
      <c r="X2" s="169"/>
      <c r="Y2" s="169"/>
      <c r="Z2" s="169"/>
      <c r="AA2" s="169"/>
      <c r="AB2" s="169"/>
      <c r="AC2" s="169"/>
      <c r="AD2" s="169"/>
      <c r="AE2" s="169"/>
      <c r="AF2" s="169"/>
      <c r="AG2" s="169"/>
      <c r="AH2" s="169"/>
    </row>
    <row r="3">
      <c r="A3" s="169"/>
      <c r="B3" s="63"/>
      <c r="C3" s="26"/>
      <c r="D3" s="175"/>
      <c r="E3" s="175"/>
      <c r="F3" s="175"/>
      <c r="G3" s="175"/>
      <c r="H3" s="176"/>
      <c r="I3" s="176"/>
      <c r="J3" s="176"/>
      <c r="K3" s="176"/>
      <c r="L3" s="19"/>
      <c r="M3" s="177"/>
      <c r="N3" s="176"/>
      <c r="O3" s="169"/>
      <c r="P3" s="169"/>
      <c r="Q3" s="169"/>
      <c r="R3" s="169"/>
      <c r="S3" s="169"/>
      <c r="T3" s="169"/>
      <c r="U3" s="169"/>
      <c r="V3" s="169"/>
      <c r="W3" s="169"/>
      <c r="X3" s="169"/>
      <c r="Y3" s="169"/>
      <c r="Z3" s="169"/>
      <c r="AA3" s="169"/>
      <c r="AB3" s="169"/>
      <c r="AC3" s="169"/>
      <c r="AD3" s="169"/>
      <c r="AE3" s="169"/>
      <c r="AF3" s="169"/>
      <c r="AG3" s="169"/>
      <c r="AH3" s="169"/>
    </row>
    <row r="4" ht="36.0" customHeight="1">
      <c r="A4" s="169"/>
      <c r="B4" s="178" t="s">
        <v>2770</v>
      </c>
      <c r="C4" s="179"/>
      <c r="D4" s="179"/>
      <c r="E4" s="179"/>
      <c r="F4" s="179"/>
      <c r="G4" s="179"/>
      <c r="H4" s="179"/>
      <c r="I4" s="179"/>
      <c r="J4" s="179"/>
      <c r="K4" s="180"/>
      <c r="L4" s="19"/>
      <c r="M4" s="181" t="s">
        <v>2771</v>
      </c>
      <c r="N4" s="182"/>
      <c r="O4" s="169"/>
      <c r="P4" s="169"/>
      <c r="Q4" s="169"/>
      <c r="R4" s="169"/>
      <c r="S4" s="169"/>
      <c r="T4" s="169"/>
      <c r="U4" s="169"/>
      <c r="V4" s="169"/>
      <c r="W4" s="169"/>
      <c r="X4" s="169"/>
      <c r="Y4" s="169"/>
      <c r="Z4" s="169"/>
      <c r="AA4" s="169"/>
      <c r="AB4" s="169"/>
      <c r="AC4" s="169"/>
      <c r="AD4" s="169"/>
      <c r="AE4" s="169"/>
      <c r="AF4" s="169"/>
      <c r="AG4" s="169"/>
      <c r="AH4" s="169"/>
    </row>
    <row r="5" ht="48.0" customHeight="1">
      <c r="A5" s="169"/>
      <c r="B5" s="183" t="s">
        <v>2772</v>
      </c>
      <c r="C5" s="183" t="s">
        <v>3</v>
      </c>
      <c r="D5" s="183" t="s">
        <v>4</v>
      </c>
      <c r="E5" s="183" t="s">
        <v>5</v>
      </c>
      <c r="F5" s="183" t="s">
        <v>6</v>
      </c>
      <c r="G5" s="183" t="s">
        <v>7</v>
      </c>
      <c r="H5" s="183" t="s">
        <v>9</v>
      </c>
      <c r="I5" s="184" t="s">
        <v>2773</v>
      </c>
      <c r="J5" s="184" t="s">
        <v>2774</v>
      </c>
      <c r="K5" s="184" t="s">
        <v>2775</v>
      </c>
      <c r="L5" s="19"/>
      <c r="M5" s="185" t="s">
        <v>3</v>
      </c>
      <c r="N5" s="185" t="s">
        <v>9</v>
      </c>
      <c r="O5" s="169"/>
      <c r="P5" s="169"/>
      <c r="Q5" s="169"/>
      <c r="R5" s="169"/>
      <c r="S5" s="169"/>
      <c r="T5" s="169"/>
      <c r="U5" s="169"/>
      <c r="V5" s="169"/>
      <c r="W5" s="169"/>
      <c r="X5" s="169"/>
      <c r="Y5" s="169"/>
      <c r="Z5" s="169"/>
      <c r="AA5" s="169"/>
      <c r="AB5" s="169"/>
      <c r="AC5" s="169"/>
      <c r="AD5" s="169"/>
      <c r="AE5" s="169"/>
      <c r="AF5" s="169"/>
      <c r="AG5" s="169"/>
      <c r="AH5" s="169"/>
    </row>
    <row r="6">
      <c r="A6" s="169"/>
      <c r="B6" s="116" t="s">
        <v>2119</v>
      </c>
      <c r="C6" s="186" t="s">
        <v>2776</v>
      </c>
      <c r="D6" s="118"/>
      <c r="E6" s="187"/>
      <c r="F6" s="187"/>
      <c r="G6" s="117"/>
      <c r="H6" s="119" t="s">
        <v>2777</v>
      </c>
      <c r="I6" s="188">
        <v>44468.0</v>
      </c>
      <c r="J6" s="188">
        <v>44468.0</v>
      </c>
      <c r="K6" s="189">
        <v>3590.0</v>
      </c>
      <c r="L6" s="19"/>
      <c r="M6" s="190"/>
      <c r="N6" s="110" t="s">
        <v>2778</v>
      </c>
      <c r="O6" s="169"/>
      <c r="P6" s="169"/>
      <c r="Q6" s="169"/>
      <c r="R6" s="169"/>
      <c r="S6" s="169"/>
      <c r="T6" s="169"/>
      <c r="U6" s="169"/>
      <c r="V6" s="169"/>
      <c r="W6" s="169"/>
      <c r="X6" s="169"/>
      <c r="Y6" s="169"/>
      <c r="Z6" s="169"/>
      <c r="AA6" s="169"/>
      <c r="AB6" s="169"/>
      <c r="AC6" s="169"/>
      <c r="AD6" s="169"/>
      <c r="AE6" s="169"/>
      <c r="AF6" s="169"/>
      <c r="AG6" s="169"/>
      <c r="AH6" s="169"/>
    </row>
    <row r="7">
      <c r="A7" s="169"/>
      <c r="B7" s="38" t="s">
        <v>2119</v>
      </c>
      <c r="C7" s="191" t="s">
        <v>2779</v>
      </c>
      <c r="D7" s="40"/>
      <c r="E7" s="40"/>
      <c r="F7" s="40"/>
      <c r="G7" s="39"/>
      <c r="H7" s="42" t="s">
        <v>2780</v>
      </c>
      <c r="I7" s="188">
        <v>44468.0</v>
      </c>
      <c r="J7" s="188">
        <v>44468.0</v>
      </c>
      <c r="K7" s="189">
        <v>4850.0</v>
      </c>
      <c r="L7" s="19"/>
      <c r="M7" s="190"/>
      <c r="N7" s="110" t="s">
        <v>2778</v>
      </c>
      <c r="O7" s="169"/>
      <c r="P7" s="169"/>
      <c r="Q7" s="169"/>
      <c r="R7" s="169"/>
      <c r="S7" s="169"/>
      <c r="T7" s="169"/>
      <c r="U7" s="169"/>
      <c r="V7" s="169"/>
      <c r="W7" s="169"/>
      <c r="X7" s="169"/>
      <c r="Y7" s="169"/>
      <c r="Z7" s="169"/>
      <c r="AA7" s="169"/>
      <c r="AB7" s="169"/>
      <c r="AC7" s="169"/>
      <c r="AD7" s="169"/>
      <c r="AE7" s="169"/>
      <c r="AF7" s="169"/>
      <c r="AG7" s="169"/>
      <c r="AH7" s="169"/>
    </row>
    <row r="8">
      <c r="A8" s="169"/>
      <c r="B8" s="38" t="s">
        <v>2119</v>
      </c>
      <c r="C8" s="191" t="s">
        <v>2781</v>
      </c>
      <c r="D8" s="40"/>
      <c r="E8" s="40"/>
      <c r="F8" s="40"/>
      <c r="G8" s="39"/>
      <c r="H8" s="42" t="s">
        <v>2782</v>
      </c>
      <c r="I8" s="188">
        <v>44466.0</v>
      </c>
      <c r="J8" s="188">
        <v>44466.0</v>
      </c>
      <c r="K8" s="189">
        <v>3170.0</v>
      </c>
      <c r="L8" s="19"/>
      <c r="M8" s="190"/>
      <c r="N8" s="110" t="s">
        <v>2778</v>
      </c>
      <c r="O8" s="169"/>
      <c r="P8" s="169"/>
      <c r="Q8" s="169"/>
      <c r="R8" s="169"/>
      <c r="S8" s="169"/>
      <c r="T8" s="169"/>
      <c r="U8" s="169"/>
      <c r="V8" s="169"/>
      <c r="W8" s="169"/>
      <c r="X8" s="169"/>
      <c r="Y8" s="169"/>
      <c r="Z8" s="169"/>
      <c r="AA8" s="169"/>
      <c r="AB8" s="169"/>
      <c r="AC8" s="169"/>
      <c r="AD8" s="169"/>
      <c r="AE8" s="169"/>
      <c r="AF8" s="169"/>
      <c r="AG8" s="169"/>
      <c r="AH8" s="169"/>
    </row>
    <row r="9">
      <c r="A9" s="169"/>
      <c r="B9" s="38" t="s">
        <v>2119</v>
      </c>
      <c r="C9" s="191" t="s">
        <v>2783</v>
      </c>
      <c r="D9" s="40"/>
      <c r="E9" s="40"/>
      <c r="F9" s="40"/>
      <c r="G9" s="39"/>
      <c r="H9" s="42" t="s">
        <v>2784</v>
      </c>
      <c r="I9" s="188">
        <v>44467.0</v>
      </c>
      <c r="J9" s="188">
        <v>44467.0</v>
      </c>
      <c r="K9" s="189">
        <v>4100.0</v>
      </c>
      <c r="L9" s="19"/>
      <c r="M9" s="190"/>
      <c r="N9" s="110" t="s">
        <v>2778</v>
      </c>
      <c r="O9" s="169"/>
      <c r="P9" s="169"/>
      <c r="Q9" s="169"/>
      <c r="R9" s="169"/>
      <c r="S9" s="169"/>
      <c r="T9" s="169"/>
      <c r="U9" s="169"/>
      <c r="V9" s="169"/>
      <c r="W9" s="169"/>
      <c r="X9" s="169"/>
      <c r="Y9" s="169"/>
      <c r="Z9" s="169"/>
      <c r="AA9" s="169"/>
      <c r="AB9" s="169"/>
      <c r="AC9" s="169"/>
      <c r="AD9" s="169"/>
      <c r="AE9" s="169"/>
      <c r="AF9" s="169"/>
      <c r="AG9" s="169"/>
      <c r="AH9" s="169"/>
    </row>
    <row r="10">
      <c r="A10" s="169"/>
      <c r="B10" s="38" t="s">
        <v>2119</v>
      </c>
      <c r="C10" s="191" t="s">
        <v>2785</v>
      </c>
      <c r="D10" s="39" t="s">
        <v>2786</v>
      </c>
      <c r="E10" s="40"/>
      <c r="F10" s="40"/>
      <c r="G10" s="39"/>
      <c r="H10" s="42" t="s">
        <v>2787</v>
      </c>
      <c r="I10" s="188">
        <v>44465.0</v>
      </c>
      <c r="J10" s="188">
        <v>44465.0</v>
      </c>
      <c r="K10" s="189">
        <v>659.0</v>
      </c>
      <c r="L10" s="19"/>
      <c r="M10" s="190"/>
      <c r="N10" s="110" t="s">
        <v>2788</v>
      </c>
      <c r="O10" s="169"/>
      <c r="P10" s="169"/>
      <c r="Q10" s="169"/>
      <c r="R10" s="169"/>
      <c r="S10" s="169"/>
      <c r="T10" s="169"/>
      <c r="U10" s="169"/>
      <c r="V10" s="169"/>
      <c r="W10" s="169"/>
      <c r="X10" s="169"/>
      <c r="Y10" s="169"/>
      <c r="Z10" s="169"/>
      <c r="AA10" s="169"/>
      <c r="AB10" s="169"/>
      <c r="AC10" s="169"/>
      <c r="AD10" s="169"/>
      <c r="AE10" s="169"/>
      <c r="AF10" s="169"/>
      <c r="AG10" s="169"/>
      <c r="AH10" s="169"/>
    </row>
    <row r="11">
      <c r="A11" s="169"/>
      <c r="B11" s="38" t="s">
        <v>2119</v>
      </c>
      <c r="C11" s="191" t="s">
        <v>2789</v>
      </c>
      <c r="D11" s="39" t="s">
        <v>2790</v>
      </c>
      <c r="E11" s="40"/>
      <c r="F11" s="40"/>
      <c r="G11" s="39"/>
      <c r="H11" s="42" t="s">
        <v>2791</v>
      </c>
      <c r="I11" s="188">
        <v>44465.0</v>
      </c>
      <c r="J11" s="188">
        <v>44465.0</v>
      </c>
      <c r="K11" s="189">
        <v>473.0</v>
      </c>
      <c r="L11" s="19"/>
      <c r="M11" s="190"/>
      <c r="N11" s="110" t="s">
        <v>2792</v>
      </c>
      <c r="O11" s="169"/>
      <c r="P11" s="169"/>
      <c r="Q11" s="169"/>
      <c r="R11" s="169"/>
      <c r="S11" s="169"/>
      <c r="T11" s="169"/>
      <c r="U11" s="169"/>
      <c r="V11" s="169"/>
      <c r="W11" s="169"/>
      <c r="X11" s="169"/>
      <c r="Y11" s="169"/>
      <c r="Z11" s="169"/>
      <c r="AA11" s="169"/>
      <c r="AB11" s="169"/>
      <c r="AC11" s="169"/>
      <c r="AD11" s="169"/>
      <c r="AE11" s="169"/>
      <c r="AF11" s="169"/>
      <c r="AG11" s="169"/>
      <c r="AH11" s="169"/>
    </row>
    <row r="12">
      <c r="A12" s="169"/>
      <c r="B12" s="38" t="s">
        <v>2119</v>
      </c>
      <c r="C12" s="191" t="s">
        <v>2793</v>
      </c>
      <c r="D12" s="39" t="s">
        <v>2794</v>
      </c>
      <c r="E12" s="40"/>
      <c r="F12" s="40"/>
      <c r="G12" s="39"/>
      <c r="H12" s="42" t="s">
        <v>2795</v>
      </c>
      <c r="I12" s="188">
        <v>44465.0</v>
      </c>
      <c r="J12" s="188">
        <v>44465.0</v>
      </c>
      <c r="K12" s="189">
        <v>816.0</v>
      </c>
      <c r="L12" s="19"/>
      <c r="M12" s="190"/>
      <c r="N12" s="110" t="s">
        <v>2796</v>
      </c>
      <c r="O12" s="169"/>
      <c r="P12" s="169"/>
      <c r="Q12" s="169"/>
      <c r="R12" s="169"/>
      <c r="S12" s="169"/>
      <c r="T12" s="169"/>
      <c r="U12" s="169"/>
      <c r="V12" s="169"/>
      <c r="W12" s="169"/>
      <c r="X12" s="169"/>
      <c r="Y12" s="169"/>
      <c r="Z12" s="169"/>
      <c r="AA12" s="169"/>
      <c r="AB12" s="169"/>
      <c r="AC12" s="169"/>
      <c r="AD12" s="169"/>
      <c r="AE12" s="169"/>
      <c r="AF12" s="169"/>
      <c r="AG12" s="169"/>
      <c r="AH12" s="169"/>
    </row>
    <row r="13">
      <c r="A13" s="169"/>
      <c r="B13" s="38" t="s">
        <v>2119</v>
      </c>
      <c r="C13" s="191" t="s">
        <v>2797</v>
      </c>
      <c r="D13" s="39" t="s">
        <v>2798</v>
      </c>
      <c r="E13" s="40"/>
      <c r="F13" s="40"/>
      <c r="G13" s="39"/>
      <c r="H13" s="42" t="s">
        <v>2799</v>
      </c>
      <c r="I13" s="188">
        <v>44465.0</v>
      </c>
      <c r="J13" s="188">
        <v>44465.0</v>
      </c>
      <c r="K13" s="189">
        <v>788.0</v>
      </c>
      <c r="L13" s="19"/>
      <c r="M13" s="190"/>
      <c r="N13" s="110" t="s">
        <v>2800</v>
      </c>
      <c r="O13" s="169"/>
      <c r="P13" s="169"/>
      <c r="Q13" s="169"/>
      <c r="R13" s="169"/>
      <c r="S13" s="169"/>
      <c r="T13" s="169"/>
      <c r="U13" s="169"/>
      <c r="V13" s="169"/>
      <c r="W13" s="169"/>
      <c r="X13" s="169"/>
      <c r="Y13" s="169"/>
      <c r="Z13" s="169"/>
      <c r="AA13" s="169"/>
      <c r="AB13" s="169"/>
      <c r="AC13" s="169"/>
      <c r="AD13" s="169"/>
      <c r="AE13" s="169"/>
      <c r="AF13" s="169"/>
      <c r="AG13" s="169"/>
      <c r="AH13" s="169"/>
    </row>
    <row r="14">
      <c r="A14" s="169"/>
      <c r="B14" s="38" t="s">
        <v>2119</v>
      </c>
      <c r="C14" s="191" t="s">
        <v>2801</v>
      </c>
      <c r="D14" s="39" t="s">
        <v>2802</v>
      </c>
      <c r="E14" s="40"/>
      <c r="F14" s="40"/>
      <c r="G14" s="39"/>
      <c r="H14" s="42" t="s">
        <v>2787</v>
      </c>
      <c r="I14" s="188">
        <v>44773.0</v>
      </c>
      <c r="J14" s="188">
        <v>44773.0</v>
      </c>
      <c r="K14" s="189">
        <v>422.0</v>
      </c>
      <c r="L14" s="19"/>
      <c r="M14" s="190"/>
      <c r="N14" s="110" t="s">
        <v>2788</v>
      </c>
      <c r="O14" s="169"/>
      <c r="P14" s="169"/>
      <c r="Q14" s="169"/>
      <c r="R14" s="169"/>
      <c r="S14" s="169"/>
      <c r="T14" s="169"/>
      <c r="U14" s="169"/>
      <c r="V14" s="169"/>
      <c r="W14" s="169"/>
      <c r="X14" s="169"/>
      <c r="Y14" s="169"/>
      <c r="Z14" s="169"/>
      <c r="AA14" s="169"/>
      <c r="AB14" s="169"/>
      <c r="AC14" s="169"/>
      <c r="AD14" s="169"/>
      <c r="AE14" s="169"/>
      <c r="AF14" s="169"/>
      <c r="AG14" s="169"/>
      <c r="AH14" s="169"/>
    </row>
    <row r="15">
      <c r="A15" s="169"/>
      <c r="B15" s="38" t="s">
        <v>2119</v>
      </c>
      <c r="C15" s="191" t="s">
        <v>2803</v>
      </c>
      <c r="D15" s="39" t="s">
        <v>2804</v>
      </c>
      <c r="E15" s="40"/>
      <c r="F15" s="40"/>
      <c r="G15" s="39"/>
      <c r="H15" s="42" t="s">
        <v>2805</v>
      </c>
      <c r="I15" s="188">
        <v>44465.0</v>
      </c>
      <c r="J15" s="188">
        <v>44465.0</v>
      </c>
      <c r="K15" s="189">
        <v>383.0</v>
      </c>
      <c r="L15" s="19"/>
      <c r="M15" s="190"/>
      <c r="N15" s="110" t="s">
        <v>2806</v>
      </c>
      <c r="O15" s="169"/>
      <c r="P15" s="169"/>
      <c r="Q15" s="169"/>
      <c r="R15" s="169"/>
      <c r="S15" s="169"/>
      <c r="T15" s="169"/>
      <c r="U15" s="169"/>
      <c r="V15" s="169"/>
      <c r="W15" s="169"/>
      <c r="X15" s="169"/>
      <c r="Y15" s="169"/>
      <c r="Z15" s="169"/>
      <c r="AA15" s="169"/>
      <c r="AB15" s="169"/>
      <c r="AC15" s="169"/>
      <c r="AD15" s="169"/>
      <c r="AE15" s="169"/>
      <c r="AF15" s="169"/>
      <c r="AG15" s="169"/>
      <c r="AH15" s="169"/>
    </row>
    <row r="16">
      <c r="A16" s="169"/>
      <c r="B16" s="38" t="s">
        <v>2119</v>
      </c>
      <c r="C16" s="191" t="s">
        <v>2807</v>
      </c>
      <c r="D16" s="39" t="s">
        <v>2808</v>
      </c>
      <c r="E16" s="40"/>
      <c r="F16" s="40"/>
      <c r="G16" s="39"/>
      <c r="H16" s="42" t="s">
        <v>2809</v>
      </c>
      <c r="I16" s="188">
        <v>44465.0</v>
      </c>
      <c r="J16" s="188">
        <v>44465.0</v>
      </c>
      <c r="K16" s="189">
        <v>166.0</v>
      </c>
      <c r="L16" s="19"/>
      <c r="M16" s="190"/>
      <c r="N16" s="110" t="s">
        <v>2810</v>
      </c>
      <c r="O16" s="169"/>
      <c r="P16" s="169"/>
      <c r="Q16" s="169"/>
      <c r="R16" s="169"/>
      <c r="S16" s="169"/>
      <c r="T16" s="169"/>
      <c r="U16" s="169"/>
      <c r="V16" s="169"/>
      <c r="W16" s="169"/>
      <c r="X16" s="169"/>
      <c r="Y16" s="169"/>
      <c r="Z16" s="169"/>
      <c r="AA16" s="169"/>
      <c r="AB16" s="169"/>
      <c r="AC16" s="169"/>
      <c r="AD16" s="169"/>
      <c r="AE16" s="169"/>
      <c r="AF16" s="169"/>
      <c r="AG16" s="169"/>
      <c r="AH16" s="169"/>
    </row>
    <row r="17">
      <c r="A17" s="169"/>
      <c r="B17" s="38" t="s">
        <v>2119</v>
      </c>
      <c r="C17" s="191" t="s">
        <v>2811</v>
      </c>
      <c r="D17" s="40" t="s">
        <v>2812</v>
      </c>
      <c r="E17" s="40"/>
      <c r="F17" s="40"/>
      <c r="G17" s="39"/>
      <c r="H17" s="42" t="s">
        <v>2813</v>
      </c>
      <c r="I17" s="188">
        <v>44160.0</v>
      </c>
      <c r="J17" s="188">
        <v>44160.0</v>
      </c>
      <c r="K17" s="189">
        <v>422.0</v>
      </c>
      <c r="L17" s="19"/>
      <c r="M17" s="190" t="s">
        <v>2814</v>
      </c>
      <c r="N17" s="42" t="s">
        <v>2815</v>
      </c>
      <c r="O17" s="169"/>
      <c r="P17" s="169"/>
      <c r="Q17" s="169"/>
      <c r="R17" s="169"/>
      <c r="S17" s="169"/>
      <c r="T17" s="169"/>
      <c r="U17" s="169"/>
      <c r="V17" s="169"/>
      <c r="W17" s="169"/>
      <c r="X17" s="169"/>
      <c r="Y17" s="169"/>
      <c r="Z17" s="169"/>
      <c r="AA17" s="169"/>
      <c r="AB17" s="169"/>
      <c r="AC17" s="169"/>
      <c r="AD17" s="169"/>
      <c r="AE17" s="169"/>
      <c r="AF17" s="169"/>
      <c r="AG17" s="169"/>
      <c r="AH17" s="169"/>
    </row>
    <row r="18">
      <c r="A18" s="169"/>
      <c r="B18" s="38" t="s">
        <v>2119</v>
      </c>
      <c r="C18" s="191" t="s">
        <v>2816</v>
      </c>
      <c r="D18" s="40" t="s">
        <v>2817</v>
      </c>
      <c r="E18" s="40"/>
      <c r="F18" s="40"/>
      <c r="G18" s="39"/>
      <c r="H18" s="42" t="s">
        <v>2818</v>
      </c>
      <c r="I18" s="188">
        <v>44439.0</v>
      </c>
      <c r="J18" s="188">
        <v>44439.0</v>
      </c>
      <c r="K18" s="189">
        <v>383.0</v>
      </c>
      <c r="L18" s="19"/>
      <c r="M18" s="190"/>
      <c r="N18" s="42" t="s">
        <v>2815</v>
      </c>
      <c r="O18" s="169"/>
      <c r="P18" s="169"/>
      <c r="Q18" s="169"/>
      <c r="R18" s="169"/>
      <c r="S18" s="169"/>
      <c r="T18" s="169"/>
      <c r="U18" s="169"/>
      <c r="V18" s="169"/>
      <c r="W18" s="169"/>
      <c r="X18" s="169"/>
      <c r="Y18" s="169"/>
      <c r="Z18" s="169"/>
      <c r="AA18" s="169"/>
      <c r="AB18" s="169"/>
      <c r="AC18" s="169"/>
      <c r="AD18" s="169"/>
      <c r="AE18" s="169"/>
      <c r="AF18" s="169"/>
      <c r="AG18" s="169"/>
      <c r="AH18" s="169"/>
    </row>
    <row r="19">
      <c r="A19" s="169"/>
      <c r="B19" s="38" t="s">
        <v>2119</v>
      </c>
      <c r="C19" s="191" t="s">
        <v>2819</v>
      </c>
      <c r="D19" s="39" t="s">
        <v>2820</v>
      </c>
      <c r="E19" s="40"/>
      <c r="F19" s="40"/>
      <c r="G19" s="39"/>
      <c r="H19" s="42" t="s">
        <v>2787</v>
      </c>
      <c r="I19" s="188">
        <v>44773.0</v>
      </c>
      <c r="J19" s="188">
        <v>44773.0</v>
      </c>
      <c r="K19" s="189">
        <v>422.0</v>
      </c>
      <c r="L19" s="19"/>
      <c r="M19" s="190"/>
      <c r="N19" s="110" t="s">
        <v>2788</v>
      </c>
      <c r="O19" s="169"/>
      <c r="P19" s="169"/>
      <c r="Q19" s="169"/>
      <c r="R19" s="169"/>
      <c r="S19" s="169"/>
      <c r="T19" s="169"/>
      <c r="U19" s="169"/>
      <c r="V19" s="169"/>
      <c r="W19" s="169"/>
      <c r="X19" s="169"/>
      <c r="Y19" s="169"/>
      <c r="Z19" s="169"/>
      <c r="AA19" s="169"/>
      <c r="AB19" s="169"/>
      <c r="AC19" s="169"/>
      <c r="AD19" s="169"/>
      <c r="AE19" s="169"/>
      <c r="AF19" s="169"/>
      <c r="AG19" s="169"/>
      <c r="AH19" s="169"/>
    </row>
    <row r="20">
      <c r="A20" s="169"/>
      <c r="B20" s="38" t="s">
        <v>2119</v>
      </c>
      <c r="C20" s="191" t="s">
        <v>2821</v>
      </c>
      <c r="D20" s="39" t="s">
        <v>2822</v>
      </c>
      <c r="E20" s="40"/>
      <c r="F20" s="40"/>
      <c r="G20" s="39"/>
      <c r="H20" s="42" t="s">
        <v>2823</v>
      </c>
      <c r="I20" s="188">
        <v>44465.0</v>
      </c>
      <c r="J20" s="188">
        <v>44465.0</v>
      </c>
      <c r="K20" s="189">
        <v>383.0</v>
      </c>
      <c r="L20" s="19"/>
      <c r="M20" s="190"/>
      <c r="N20" s="42" t="s">
        <v>2824</v>
      </c>
      <c r="O20" s="169"/>
      <c r="P20" s="169"/>
      <c r="Q20" s="169"/>
      <c r="R20" s="169"/>
      <c r="S20" s="169"/>
      <c r="T20" s="169"/>
      <c r="U20" s="169"/>
      <c r="V20" s="169"/>
      <c r="W20" s="169"/>
      <c r="X20" s="169"/>
      <c r="Y20" s="169"/>
      <c r="Z20" s="169"/>
      <c r="AA20" s="169"/>
      <c r="AB20" s="169"/>
      <c r="AC20" s="169"/>
      <c r="AD20" s="169"/>
      <c r="AE20" s="169"/>
      <c r="AF20" s="169"/>
      <c r="AG20" s="169"/>
      <c r="AH20" s="169"/>
    </row>
    <row r="21" ht="15.75" customHeight="1">
      <c r="A21" s="169"/>
      <c r="B21" s="38" t="s">
        <v>2119</v>
      </c>
      <c r="C21" s="191" t="s">
        <v>2825</v>
      </c>
      <c r="D21" s="39" t="s">
        <v>2826</v>
      </c>
      <c r="E21" s="40"/>
      <c r="F21" s="40"/>
      <c r="G21" s="39"/>
      <c r="H21" s="42" t="s">
        <v>2827</v>
      </c>
      <c r="I21" s="188">
        <v>44465.0</v>
      </c>
      <c r="J21" s="188">
        <v>44465.0</v>
      </c>
      <c r="K21" s="189">
        <v>405.0</v>
      </c>
      <c r="L21" s="19"/>
      <c r="M21" s="190"/>
      <c r="N21" s="110" t="s">
        <v>2828</v>
      </c>
      <c r="O21" s="169"/>
      <c r="P21" s="169"/>
      <c r="Q21" s="169"/>
      <c r="R21" s="169"/>
      <c r="S21" s="169"/>
      <c r="T21" s="169"/>
      <c r="U21" s="169"/>
      <c r="V21" s="169"/>
      <c r="W21" s="169"/>
      <c r="X21" s="169"/>
      <c r="Y21" s="169"/>
      <c r="Z21" s="169"/>
      <c r="AA21" s="169"/>
      <c r="AB21" s="169"/>
      <c r="AC21" s="169"/>
      <c r="AD21" s="169"/>
      <c r="AE21" s="169"/>
      <c r="AF21" s="169"/>
      <c r="AG21" s="169"/>
      <c r="AH21" s="169"/>
    </row>
    <row r="22" ht="15.75" customHeight="1">
      <c r="A22" s="169"/>
      <c r="B22" s="38" t="s">
        <v>2119</v>
      </c>
      <c r="C22" s="191" t="s">
        <v>2829</v>
      </c>
      <c r="D22" s="39" t="s">
        <v>2830</v>
      </c>
      <c r="E22" s="40"/>
      <c r="F22" s="40"/>
      <c r="G22" s="39"/>
      <c r="H22" s="42" t="s">
        <v>2831</v>
      </c>
      <c r="I22" s="188">
        <v>44442.0</v>
      </c>
      <c r="J22" s="188">
        <v>44442.0</v>
      </c>
      <c r="K22" s="189">
        <v>422.0</v>
      </c>
      <c r="L22" s="19"/>
      <c r="M22" s="190"/>
      <c r="N22" s="42" t="s">
        <v>2832</v>
      </c>
      <c r="O22" s="169"/>
      <c r="P22" s="169"/>
      <c r="Q22" s="169"/>
      <c r="R22" s="169"/>
      <c r="S22" s="169"/>
      <c r="T22" s="169"/>
      <c r="U22" s="169"/>
      <c r="V22" s="169"/>
      <c r="W22" s="169"/>
      <c r="X22" s="169"/>
      <c r="Y22" s="169"/>
      <c r="Z22" s="169"/>
      <c r="AA22" s="169"/>
      <c r="AB22" s="169"/>
      <c r="AC22" s="169"/>
      <c r="AD22" s="169"/>
      <c r="AE22" s="169"/>
      <c r="AF22" s="169"/>
      <c r="AG22" s="169"/>
      <c r="AH22" s="169"/>
    </row>
    <row r="23" ht="15.75" customHeight="1">
      <c r="A23" s="169"/>
      <c r="B23" s="38" t="s">
        <v>2119</v>
      </c>
      <c r="C23" s="191" t="s">
        <v>2833</v>
      </c>
      <c r="D23" s="39" t="s">
        <v>2834</v>
      </c>
      <c r="E23" s="40"/>
      <c r="F23" s="40"/>
      <c r="G23" s="39"/>
      <c r="H23" s="42" t="s">
        <v>2835</v>
      </c>
      <c r="I23" s="188">
        <v>44442.0</v>
      </c>
      <c r="J23" s="188">
        <v>44442.0</v>
      </c>
      <c r="K23" s="189">
        <v>383.0</v>
      </c>
      <c r="L23" s="19"/>
      <c r="M23" s="190"/>
      <c r="N23" s="42" t="s">
        <v>2836</v>
      </c>
      <c r="O23" s="169"/>
      <c r="P23" s="169"/>
      <c r="Q23" s="169"/>
      <c r="R23" s="169"/>
      <c r="S23" s="169"/>
      <c r="T23" s="169"/>
      <c r="U23" s="169"/>
      <c r="V23" s="169"/>
      <c r="W23" s="169"/>
      <c r="X23" s="169"/>
      <c r="Y23" s="169"/>
      <c r="Z23" s="169"/>
      <c r="AA23" s="169"/>
      <c r="AB23" s="169"/>
      <c r="AC23" s="169"/>
      <c r="AD23" s="169"/>
      <c r="AE23" s="169"/>
      <c r="AF23" s="169"/>
      <c r="AG23" s="169"/>
      <c r="AH23" s="169"/>
    </row>
    <row r="24" ht="15.75" customHeight="1">
      <c r="A24" s="169"/>
      <c r="B24" s="38" t="s">
        <v>2119</v>
      </c>
      <c r="C24" s="191" t="s">
        <v>2837</v>
      </c>
      <c r="D24" s="39" t="s">
        <v>2838</v>
      </c>
      <c r="E24" s="40"/>
      <c r="F24" s="40"/>
      <c r="G24" s="39"/>
      <c r="H24" s="42" t="s">
        <v>2839</v>
      </c>
      <c r="I24" s="188">
        <v>44465.0</v>
      </c>
      <c r="J24" s="188">
        <v>44465.0</v>
      </c>
      <c r="K24" s="189">
        <v>383.0</v>
      </c>
      <c r="L24" s="19"/>
      <c r="M24" s="190"/>
      <c r="N24" s="110" t="s">
        <v>2840</v>
      </c>
      <c r="O24" s="169"/>
      <c r="P24" s="169"/>
      <c r="Q24" s="169"/>
      <c r="R24" s="169"/>
      <c r="S24" s="169"/>
      <c r="T24" s="169"/>
      <c r="U24" s="169"/>
      <c r="V24" s="169"/>
      <c r="W24" s="169"/>
      <c r="X24" s="169"/>
      <c r="Y24" s="169"/>
      <c r="Z24" s="169"/>
      <c r="AA24" s="169"/>
      <c r="AB24" s="169"/>
      <c r="AC24" s="169"/>
      <c r="AD24" s="169"/>
      <c r="AE24" s="169"/>
      <c r="AF24" s="169"/>
      <c r="AG24" s="169"/>
      <c r="AH24" s="169"/>
    </row>
    <row r="25" ht="15.75" customHeight="1">
      <c r="A25" s="169"/>
      <c r="B25" s="38" t="s">
        <v>2119</v>
      </c>
      <c r="C25" s="191" t="s">
        <v>2841</v>
      </c>
      <c r="D25" s="39" t="s">
        <v>2842</v>
      </c>
      <c r="E25" s="40"/>
      <c r="F25" s="40"/>
      <c r="G25" s="39"/>
      <c r="H25" s="42" t="s">
        <v>2787</v>
      </c>
      <c r="I25" s="188">
        <v>44773.0</v>
      </c>
      <c r="J25" s="188">
        <v>44773.0</v>
      </c>
      <c r="K25" s="189">
        <v>422.0</v>
      </c>
      <c r="L25" s="19"/>
      <c r="M25" s="190"/>
      <c r="N25" s="110" t="s">
        <v>2788</v>
      </c>
      <c r="O25" s="169"/>
      <c r="P25" s="169"/>
      <c r="Q25" s="169"/>
      <c r="R25" s="169"/>
      <c r="S25" s="169"/>
      <c r="T25" s="169"/>
      <c r="U25" s="169"/>
      <c r="V25" s="169"/>
      <c r="W25" s="169"/>
      <c r="X25" s="169"/>
      <c r="Y25" s="169"/>
      <c r="Z25" s="169"/>
      <c r="AA25" s="169"/>
      <c r="AB25" s="169"/>
      <c r="AC25" s="169"/>
      <c r="AD25" s="169"/>
      <c r="AE25" s="169"/>
      <c r="AF25" s="169"/>
      <c r="AG25" s="169"/>
      <c r="AH25" s="169"/>
    </row>
    <row r="26" ht="15.75" customHeight="1">
      <c r="A26" s="169"/>
      <c r="B26" s="38" t="s">
        <v>2119</v>
      </c>
      <c r="C26" s="191" t="s">
        <v>2843</v>
      </c>
      <c r="D26" s="39" t="s">
        <v>2844</v>
      </c>
      <c r="E26" s="40"/>
      <c r="F26" s="40"/>
      <c r="G26" s="39"/>
      <c r="H26" s="42" t="s">
        <v>2845</v>
      </c>
      <c r="I26" s="188">
        <v>44465.0</v>
      </c>
      <c r="J26" s="188">
        <v>44465.0</v>
      </c>
      <c r="K26" s="189">
        <v>383.0</v>
      </c>
      <c r="L26" s="19"/>
      <c r="M26" s="190"/>
      <c r="N26" s="110" t="s">
        <v>2846</v>
      </c>
      <c r="O26" s="169"/>
      <c r="P26" s="169"/>
      <c r="Q26" s="169"/>
      <c r="R26" s="169"/>
      <c r="S26" s="169"/>
      <c r="T26" s="169"/>
      <c r="U26" s="169"/>
      <c r="V26" s="169"/>
      <c r="W26" s="169"/>
      <c r="X26" s="169"/>
      <c r="Y26" s="169"/>
      <c r="Z26" s="169"/>
      <c r="AA26" s="169"/>
      <c r="AB26" s="169"/>
      <c r="AC26" s="169"/>
      <c r="AD26" s="169"/>
      <c r="AE26" s="169"/>
      <c r="AF26" s="169"/>
      <c r="AG26" s="169"/>
      <c r="AH26" s="169"/>
    </row>
    <row r="27" ht="15.75" customHeight="1">
      <c r="A27" s="169"/>
      <c r="B27" s="38" t="s">
        <v>2119</v>
      </c>
      <c r="C27" s="191" t="s">
        <v>2847</v>
      </c>
      <c r="D27" s="39" t="s">
        <v>2848</v>
      </c>
      <c r="E27" s="40"/>
      <c r="F27" s="40"/>
      <c r="G27" s="39"/>
      <c r="H27" s="42" t="s">
        <v>2849</v>
      </c>
      <c r="I27" s="188">
        <v>44442.0</v>
      </c>
      <c r="J27" s="188">
        <v>44442.0</v>
      </c>
      <c r="K27" s="189">
        <v>422.0</v>
      </c>
      <c r="L27" s="19"/>
      <c r="M27" s="190"/>
      <c r="N27" s="42" t="s">
        <v>2850</v>
      </c>
      <c r="O27" s="169"/>
      <c r="P27" s="169"/>
      <c r="Q27" s="169"/>
      <c r="R27" s="169"/>
      <c r="S27" s="169"/>
      <c r="T27" s="169"/>
      <c r="U27" s="169"/>
      <c r="V27" s="169"/>
      <c r="W27" s="169"/>
      <c r="X27" s="169"/>
      <c r="Y27" s="169"/>
      <c r="Z27" s="169"/>
      <c r="AA27" s="169"/>
      <c r="AB27" s="169"/>
      <c r="AC27" s="169"/>
      <c r="AD27" s="169"/>
      <c r="AE27" s="169"/>
      <c r="AF27" s="169"/>
      <c r="AG27" s="169"/>
      <c r="AH27" s="169"/>
    </row>
    <row r="28" ht="15.75" customHeight="1">
      <c r="A28" s="169"/>
      <c r="B28" s="38" t="s">
        <v>2119</v>
      </c>
      <c r="C28" s="191" t="s">
        <v>2851</v>
      </c>
      <c r="D28" s="39" t="s">
        <v>2852</v>
      </c>
      <c r="E28" s="40"/>
      <c r="F28" s="40"/>
      <c r="G28" s="39"/>
      <c r="H28" s="42" t="s">
        <v>2853</v>
      </c>
      <c r="I28" s="188">
        <v>44442.0</v>
      </c>
      <c r="J28" s="188">
        <v>44442.0</v>
      </c>
      <c r="K28" s="189">
        <v>383.0</v>
      </c>
      <c r="L28" s="19"/>
      <c r="M28" s="190"/>
      <c r="N28" s="42" t="s">
        <v>2854</v>
      </c>
      <c r="O28" s="169"/>
      <c r="P28" s="169"/>
      <c r="Q28" s="169"/>
      <c r="R28" s="169"/>
      <c r="S28" s="169"/>
      <c r="T28" s="169"/>
      <c r="U28" s="169"/>
      <c r="V28" s="169"/>
      <c r="W28" s="169"/>
      <c r="X28" s="169"/>
      <c r="Y28" s="169"/>
      <c r="Z28" s="169"/>
      <c r="AA28" s="169"/>
      <c r="AB28" s="169"/>
      <c r="AC28" s="169"/>
      <c r="AD28" s="169"/>
      <c r="AE28" s="169"/>
      <c r="AF28" s="169"/>
      <c r="AG28" s="169"/>
      <c r="AH28" s="169"/>
    </row>
    <row r="29" ht="15.75" customHeight="1">
      <c r="A29" s="169"/>
      <c r="B29" s="38" t="s">
        <v>2119</v>
      </c>
      <c r="C29" s="191" t="s">
        <v>2855</v>
      </c>
      <c r="D29" s="39" t="s">
        <v>2856</v>
      </c>
      <c r="E29" s="40"/>
      <c r="F29" s="40"/>
      <c r="G29" s="39"/>
      <c r="H29" s="42" t="s">
        <v>2857</v>
      </c>
      <c r="I29" s="188">
        <v>44442.0</v>
      </c>
      <c r="J29" s="188">
        <v>44442.0</v>
      </c>
      <c r="K29" s="189">
        <v>422.0</v>
      </c>
      <c r="L29" s="19"/>
      <c r="M29" s="190"/>
      <c r="N29" s="42" t="s">
        <v>2858</v>
      </c>
      <c r="O29" s="169"/>
      <c r="P29" s="169"/>
      <c r="Q29" s="169"/>
      <c r="R29" s="169"/>
      <c r="S29" s="169"/>
      <c r="T29" s="169"/>
      <c r="U29" s="169"/>
      <c r="V29" s="169"/>
      <c r="W29" s="169"/>
      <c r="X29" s="169"/>
      <c r="Y29" s="169"/>
      <c r="Z29" s="169"/>
      <c r="AA29" s="169"/>
      <c r="AB29" s="169"/>
      <c r="AC29" s="169"/>
      <c r="AD29" s="169"/>
      <c r="AE29" s="169"/>
      <c r="AF29" s="169"/>
      <c r="AG29" s="169"/>
      <c r="AH29" s="169"/>
    </row>
    <row r="30" ht="15.75" customHeight="1">
      <c r="A30" s="169"/>
      <c r="B30" s="38" t="s">
        <v>2119</v>
      </c>
      <c r="C30" s="191" t="s">
        <v>2859</v>
      </c>
      <c r="D30" s="39" t="s">
        <v>2860</v>
      </c>
      <c r="E30" s="40"/>
      <c r="F30" s="40"/>
      <c r="G30" s="39"/>
      <c r="H30" s="42" t="s">
        <v>2861</v>
      </c>
      <c r="I30" s="188">
        <v>44442.0</v>
      </c>
      <c r="J30" s="188">
        <v>44442.0</v>
      </c>
      <c r="K30" s="189">
        <v>383.0</v>
      </c>
      <c r="L30" s="19"/>
      <c r="M30" s="190"/>
      <c r="N30" s="42" t="s">
        <v>2862</v>
      </c>
      <c r="O30" s="169"/>
      <c r="P30" s="169"/>
      <c r="Q30" s="169"/>
      <c r="R30" s="169"/>
      <c r="S30" s="169"/>
      <c r="T30" s="169"/>
      <c r="U30" s="169"/>
      <c r="V30" s="169"/>
      <c r="W30" s="169"/>
      <c r="X30" s="169"/>
      <c r="Y30" s="169"/>
      <c r="Z30" s="169"/>
      <c r="AA30" s="169"/>
      <c r="AB30" s="169"/>
      <c r="AC30" s="169"/>
      <c r="AD30" s="169"/>
      <c r="AE30" s="169"/>
      <c r="AF30" s="169"/>
      <c r="AG30" s="169"/>
      <c r="AH30" s="169"/>
    </row>
    <row r="31" ht="15.75" customHeight="1">
      <c r="A31" s="169"/>
      <c r="B31" s="38" t="s">
        <v>2119</v>
      </c>
      <c r="C31" s="191" t="s">
        <v>2863</v>
      </c>
      <c r="D31" s="39" t="s">
        <v>2864</v>
      </c>
      <c r="E31" s="40"/>
      <c r="F31" s="40"/>
      <c r="G31" s="39"/>
      <c r="H31" s="42" t="s">
        <v>2865</v>
      </c>
      <c r="I31" s="188">
        <v>44465.0</v>
      </c>
      <c r="J31" s="188">
        <v>44465.0</v>
      </c>
      <c r="K31" s="189">
        <v>473.0</v>
      </c>
      <c r="L31" s="19"/>
      <c r="M31" s="190"/>
      <c r="N31" s="110" t="s">
        <v>2800</v>
      </c>
      <c r="O31" s="169"/>
      <c r="P31" s="169"/>
      <c r="Q31" s="169"/>
      <c r="R31" s="169"/>
      <c r="S31" s="169"/>
      <c r="T31" s="169"/>
      <c r="U31" s="169"/>
      <c r="V31" s="169"/>
      <c r="W31" s="169"/>
      <c r="X31" s="169"/>
      <c r="Y31" s="169"/>
      <c r="Z31" s="169"/>
      <c r="AA31" s="169"/>
      <c r="AB31" s="169"/>
      <c r="AC31" s="169"/>
      <c r="AD31" s="169"/>
      <c r="AE31" s="169"/>
      <c r="AF31" s="169"/>
      <c r="AG31" s="169"/>
      <c r="AH31" s="169"/>
    </row>
    <row r="32" ht="15.75" customHeight="1">
      <c r="A32" s="169"/>
      <c r="B32" s="38" t="s">
        <v>2119</v>
      </c>
      <c r="C32" s="191" t="s">
        <v>2866</v>
      </c>
      <c r="D32" s="39" t="s">
        <v>2867</v>
      </c>
      <c r="E32" s="40"/>
      <c r="F32" s="40"/>
      <c r="G32" s="39"/>
      <c r="H32" s="42" t="s">
        <v>2868</v>
      </c>
      <c r="I32" s="188">
        <v>44465.0</v>
      </c>
      <c r="J32" s="188">
        <v>44465.0</v>
      </c>
      <c r="K32" s="189">
        <v>1066.0</v>
      </c>
      <c r="L32" s="19"/>
      <c r="M32" s="190"/>
      <c r="N32" s="42" t="s">
        <v>2869</v>
      </c>
      <c r="O32" s="169"/>
      <c r="P32" s="169"/>
      <c r="Q32" s="169"/>
      <c r="R32" s="169"/>
      <c r="S32" s="169"/>
      <c r="T32" s="169"/>
      <c r="U32" s="169"/>
      <c r="V32" s="169"/>
      <c r="W32" s="169"/>
      <c r="X32" s="169"/>
      <c r="Y32" s="169"/>
      <c r="Z32" s="169"/>
      <c r="AA32" s="169"/>
      <c r="AB32" s="169"/>
      <c r="AC32" s="169"/>
      <c r="AD32" s="169"/>
      <c r="AE32" s="169"/>
      <c r="AF32" s="169"/>
      <c r="AG32" s="169"/>
      <c r="AH32" s="169"/>
    </row>
    <row r="33" ht="15.75" customHeight="1">
      <c r="A33" s="169"/>
      <c r="B33" s="38" t="s">
        <v>2119</v>
      </c>
      <c r="C33" s="191" t="s">
        <v>2870</v>
      </c>
      <c r="D33" s="39" t="s">
        <v>2871</v>
      </c>
      <c r="E33" s="40"/>
      <c r="F33" s="40"/>
      <c r="G33" s="39"/>
      <c r="H33" s="42" t="s">
        <v>2872</v>
      </c>
      <c r="I33" s="188">
        <v>44465.0</v>
      </c>
      <c r="J33" s="188">
        <v>44465.0</v>
      </c>
      <c r="K33" s="189">
        <v>900.0</v>
      </c>
      <c r="L33" s="19"/>
      <c r="M33" s="190"/>
      <c r="N33" s="110" t="s">
        <v>2873</v>
      </c>
      <c r="O33" s="169"/>
      <c r="P33" s="169"/>
      <c r="Q33" s="169"/>
      <c r="R33" s="169"/>
      <c r="S33" s="169"/>
      <c r="T33" s="169"/>
      <c r="U33" s="169"/>
      <c r="V33" s="169"/>
      <c r="W33" s="169"/>
      <c r="X33" s="169"/>
      <c r="Y33" s="169"/>
      <c r="Z33" s="169"/>
      <c r="AA33" s="169"/>
      <c r="AB33" s="169"/>
      <c r="AC33" s="169"/>
      <c r="AD33" s="169"/>
      <c r="AE33" s="169"/>
      <c r="AF33" s="169"/>
      <c r="AG33" s="169"/>
      <c r="AH33" s="169"/>
    </row>
    <row r="34" ht="15.75" customHeight="1">
      <c r="A34" s="169"/>
      <c r="B34" s="38" t="s">
        <v>2119</v>
      </c>
      <c r="C34" s="191" t="s">
        <v>2874</v>
      </c>
      <c r="D34" s="39" t="s">
        <v>2875</v>
      </c>
      <c r="E34" s="40"/>
      <c r="F34" s="40"/>
      <c r="G34" s="39"/>
      <c r="H34" s="42" t="s">
        <v>2787</v>
      </c>
      <c r="I34" s="188">
        <v>44773.0</v>
      </c>
      <c r="J34" s="188">
        <v>44773.0</v>
      </c>
      <c r="K34" s="189">
        <v>422.0</v>
      </c>
      <c r="L34" s="19"/>
      <c r="M34" s="190"/>
      <c r="N34" s="110" t="s">
        <v>2788</v>
      </c>
      <c r="O34" s="169"/>
      <c r="P34" s="169"/>
      <c r="Q34" s="169"/>
      <c r="R34" s="169"/>
      <c r="S34" s="169"/>
      <c r="T34" s="169"/>
      <c r="U34" s="169"/>
      <c r="V34" s="169"/>
      <c r="W34" s="169"/>
      <c r="X34" s="169"/>
      <c r="Y34" s="169"/>
      <c r="Z34" s="169"/>
      <c r="AA34" s="169"/>
      <c r="AB34" s="169"/>
      <c r="AC34" s="169"/>
      <c r="AD34" s="169"/>
      <c r="AE34" s="169"/>
      <c r="AF34" s="169"/>
      <c r="AG34" s="169"/>
      <c r="AH34" s="169"/>
    </row>
    <row r="35" ht="15.75" customHeight="1">
      <c r="A35" s="169"/>
      <c r="B35" s="38" t="s">
        <v>2119</v>
      </c>
      <c r="C35" s="191" t="s">
        <v>2876</v>
      </c>
      <c r="D35" s="39" t="s">
        <v>2877</v>
      </c>
      <c r="E35" s="40"/>
      <c r="F35" s="40"/>
      <c r="G35" s="39"/>
      <c r="H35" s="42" t="s">
        <v>2878</v>
      </c>
      <c r="I35" s="188">
        <v>44465.0</v>
      </c>
      <c r="J35" s="188">
        <v>44465.0</v>
      </c>
      <c r="K35" s="189">
        <v>383.0</v>
      </c>
      <c r="L35" s="19"/>
      <c r="M35" s="190"/>
      <c r="N35" s="110" t="s">
        <v>2879</v>
      </c>
      <c r="O35" s="169"/>
      <c r="P35" s="169"/>
      <c r="Q35" s="169"/>
      <c r="R35" s="169"/>
      <c r="S35" s="169"/>
      <c r="T35" s="169"/>
      <c r="U35" s="169"/>
      <c r="V35" s="169"/>
      <c r="W35" s="169"/>
      <c r="X35" s="169"/>
      <c r="Y35" s="169"/>
      <c r="Z35" s="169"/>
      <c r="AA35" s="169"/>
      <c r="AB35" s="169"/>
      <c r="AC35" s="169"/>
      <c r="AD35" s="169"/>
      <c r="AE35" s="169"/>
      <c r="AF35" s="169"/>
      <c r="AG35" s="169"/>
      <c r="AH35" s="169"/>
    </row>
    <row r="36" ht="15.75" customHeight="1">
      <c r="A36" s="169"/>
      <c r="B36" s="38" t="s">
        <v>2119</v>
      </c>
      <c r="C36" s="191" t="s">
        <v>2880</v>
      </c>
      <c r="D36" s="39" t="s">
        <v>2881</v>
      </c>
      <c r="E36" s="40"/>
      <c r="F36" s="40"/>
      <c r="G36" s="39"/>
      <c r="H36" s="42" t="s">
        <v>2882</v>
      </c>
      <c r="I36" s="188">
        <v>44465.0</v>
      </c>
      <c r="J36" s="188">
        <v>44465.0</v>
      </c>
      <c r="K36" s="189">
        <v>700.0</v>
      </c>
      <c r="L36" s="19"/>
      <c r="M36" s="190"/>
      <c r="N36" s="110" t="s">
        <v>2800</v>
      </c>
      <c r="O36" s="169"/>
      <c r="P36" s="169"/>
      <c r="Q36" s="169"/>
      <c r="R36" s="169"/>
      <c r="S36" s="169"/>
      <c r="T36" s="169"/>
      <c r="U36" s="169"/>
      <c r="V36" s="169"/>
      <c r="W36" s="169"/>
      <c r="X36" s="169"/>
      <c r="Y36" s="169"/>
      <c r="Z36" s="169"/>
      <c r="AA36" s="169"/>
      <c r="AB36" s="169"/>
      <c r="AC36" s="169"/>
      <c r="AD36" s="169"/>
      <c r="AE36" s="169"/>
      <c r="AF36" s="169"/>
      <c r="AG36" s="169"/>
      <c r="AH36" s="169"/>
    </row>
    <row r="37" ht="15.75" customHeight="1">
      <c r="A37" s="169"/>
      <c r="B37" s="38" t="s">
        <v>2119</v>
      </c>
      <c r="C37" s="191" t="s">
        <v>2883</v>
      </c>
      <c r="D37" s="40" t="s">
        <v>2884</v>
      </c>
      <c r="E37" s="40"/>
      <c r="F37" s="40"/>
      <c r="G37" s="39"/>
      <c r="H37" s="42" t="s">
        <v>2885</v>
      </c>
      <c r="I37" s="188">
        <v>44160.0</v>
      </c>
      <c r="J37" s="188">
        <v>44160.0</v>
      </c>
      <c r="K37" s="189">
        <v>422.0</v>
      </c>
      <c r="L37" s="19"/>
      <c r="M37" s="190"/>
      <c r="N37" s="42" t="s">
        <v>2815</v>
      </c>
      <c r="O37" s="169"/>
      <c r="P37" s="169"/>
      <c r="Q37" s="169"/>
      <c r="R37" s="169"/>
      <c r="S37" s="169"/>
      <c r="T37" s="169"/>
      <c r="U37" s="169"/>
      <c r="V37" s="169"/>
      <c r="W37" s="169"/>
      <c r="X37" s="169"/>
      <c r="Y37" s="169"/>
      <c r="Z37" s="169"/>
      <c r="AA37" s="169"/>
      <c r="AB37" s="169"/>
      <c r="AC37" s="169"/>
      <c r="AD37" s="169"/>
      <c r="AE37" s="169"/>
      <c r="AF37" s="169"/>
      <c r="AG37" s="169"/>
      <c r="AH37" s="169"/>
    </row>
    <row r="38" ht="15.75" customHeight="1">
      <c r="A38" s="169"/>
      <c r="B38" s="38" t="s">
        <v>2119</v>
      </c>
      <c r="C38" s="191" t="s">
        <v>2886</v>
      </c>
      <c r="D38" s="39" t="s">
        <v>2887</v>
      </c>
      <c r="E38" s="40"/>
      <c r="F38" s="40"/>
      <c r="G38" s="39"/>
      <c r="H38" s="42" t="s">
        <v>2888</v>
      </c>
      <c r="I38" s="188">
        <v>44465.0</v>
      </c>
      <c r="J38" s="188">
        <v>44465.0</v>
      </c>
      <c r="K38" s="189">
        <v>473.0</v>
      </c>
      <c r="L38" s="19"/>
      <c r="M38" s="190"/>
      <c r="N38" s="110" t="s">
        <v>2840</v>
      </c>
      <c r="O38" s="169"/>
      <c r="P38" s="169"/>
      <c r="Q38" s="169"/>
      <c r="R38" s="169"/>
      <c r="S38" s="169"/>
      <c r="T38" s="169"/>
      <c r="U38" s="169"/>
      <c r="V38" s="169"/>
      <c r="W38" s="169"/>
      <c r="X38" s="169"/>
      <c r="Y38" s="169"/>
      <c r="Z38" s="169"/>
      <c r="AA38" s="169"/>
      <c r="AB38" s="169"/>
      <c r="AC38" s="169"/>
      <c r="AD38" s="169"/>
      <c r="AE38" s="169"/>
      <c r="AF38" s="169"/>
      <c r="AG38" s="169"/>
      <c r="AH38" s="169"/>
    </row>
    <row r="39" ht="15.75" customHeight="1">
      <c r="A39" s="169"/>
      <c r="B39" s="38" t="s">
        <v>2889</v>
      </c>
      <c r="C39" s="191" t="s">
        <v>2890</v>
      </c>
      <c r="D39" s="40" t="s">
        <v>2891</v>
      </c>
      <c r="E39" s="40"/>
      <c r="F39" s="40"/>
      <c r="G39" s="39"/>
      <c r="H39" s="42" t="s">
        <v>2892</v>
      </c>
      <c r="I39" s="188">
        <v>44711.0</v>
      </c>
      <c r="J39" s="188">
        <v>44773.0</v>
      </c>
      <c r="K39" s="189">
        <v>2281.0</v>
      </c>
      <c r="L39" s="19"/>
      <c r="M39" s="192" t="s">
        <v>2893</v>
      </c>
      <c r="N39" s="193"/>
      <c r="O39" s="169"/>
      <c r="P39" s="169"/>
      <c r="Q39" s="169"/>
      <c r="R39" s="169"/>
      <c r="S39" s="169"/>
      <c r="T39" s="169"/>
      <c r="U39" s="169"/>
      <c r="V39" s="169"/>
      <c r="W39" s="169"/>
      <c r="X39" s="169"/>
      <c r="Y39" s="169"/>
      <c r="Z39" s="169"/>
      <c r="AA39" s="169"/>
      <c r="AB39" s="169"/>
      <c r="AC39" s="169"/>
      <c r="AD39" s="169"/>
      <c r="AE39" s="169"/>
      <c r="AF39" s="169"/>
      <c r="AG39" s="169"/>
      <c r="AH39" s="169"/>
    </row>
    <row r="40" ht="15.75" customHeight="1">
      <c r="A40" s="169"/>
      <c r="B40" s="38" t="s">
        <v>2889</v>
      </c>
      <c r="C40" s="191" t="s">
        <v>2894</v>
      </c>
      <c r="D40" s="40" t="s">
        <v>2895</v>
      </c>
      <c r="E40" s="40"/>
      <c r="F40" s="40"/>
      <c r="G40" s="39"/>
      <c r="H40" s="42" t="s">
        <v>2896</v>
      </c>
      <c r="I40" s="188">
        <v>44711.0</v>
      </c>
      <c r="J40" s="188">
        <v>44773.0</v>
      </c>
      <c r="K40" s="189">
        <v>316.0</v>
      </c>
      <c r="L40" s="19"/>
      <c r="M40" s="192" t="s">
        <v>2893</v>
      </c>
      <c r="N40" s="193"/>
      <c r="O40" s="169"/>
      <c r="P40" s="169"/>
      <c r="Q40" s="169"/>
      <c r="R40" s="169"/>
      <c r="S40" s="169"/>
      <c r="T40" s="169"/>
      <c r="U40" s="169"/>
      <c r="V40" s="169"/>
      <c r="W40" s="169"/>
      <c r="X40" s="169"/>
      <c r="Y40" s="169"/>
      <c r="Z40" s="169"/>
      <c r="AA40" s="169"/>
      <c r="AB40" s="169"/>
      <c r="AC40" s="169"/>
      <c r="AD40" s="169"/>
      <c r="AE40" s="169"/>
      <c r="AF40" s="169"/>
      <c r="AG40" s="169"/>
      <c r="AH40" s="169"/>
    </row>
    <row r="41" ht="15.75" customHeight="1">
      <c r="A41" s="169"/>
      <c r="B41" s="38" t="s">
        <v>2889</v>
      </c>
      <c r="C41" s="191" t="s">
        <v>2897</v>
      </c>
      <c r="D41" s="40" t="s">
        <v>2898</v>
      </c>
      <c r="E41" s="40"/>
      <c r="F41" s="40"/>
      <c r="G41" s="39"/>
      <c r="H41" s="42" t="s">
        <v>2899</v>
      </c>
      <c r="I41" s="188">
        <v>44711.0</v>
      </c>
      <c r="J41" s="188">
        <v>44773.0</v>
      </c>
      <c r="K41" s="189">
        <v>20173.0</v>
      </c>
      <c r="L41" s="19"/>
      <c r="M41" s="190" t="s">
        <v>2893</v>
      </c>
      <c r="N41" s="193"/>
      <c r="O41" s="169"/>
      <c r="P41" s="169"/>
      <c r="Q41" s="169"/>
      <c r="R41" s="169"/>
      <c r="S41" s="169"/>
      <c r="T41" s="169"/>
      <c r="U41" s="169"/>
      <c r="V41" s="169"/>
      <c r="W41" s="169"/>
      <c r="X41" s="169"/>
      <c r="Y41" s="169"/>
      <c r="Z41" s="169"/>
      <c r="AA41" s="169"/>
      <c r="AB41" s="169"/>
      <c r="AC41" s="169"/>
      <c r="AD41" s="169"/>
      <c r="AE41" s="169"/>
      <c r="AF41" s="169"/>
      <c r="AG41" s="169"/>
      <c r="AH41" s="169"/>
    </row>
    <row r="42" ht="15.75" customHeight="1">
      <c r="A42" s="169"/>
      <c r="B42" s="38" t="s">
        <v>2889</v>
      </c>
      <c r="C42" s="191" t="s">
        <v>2900</v>
      </c>
      <c r="D42" s="40" t="s">
        <v>2901</v>
      </c>
      <c r="E42" s="40"/>
      <c r="F42" s="40"/>
      <c r="G42" s="39"/>
      <c r="H42" s="42" t="s">
        <v>2902</v>
      </c>
      <c r="I42" s="188">
        <v>44711.0</v>
      </c>
      <c r="J42" s="188">
        <v>44773.0</v>
      </c>
      <c r="K42" s="189">
        <v>2849.0</v>
      </c>
      <c r="L42" s="19"/>
      <c r="M42" s="190" t="s">
        <v>2893</v>
      </c>
      <c r="N42" s="193"/>
      <c r="O42" s="169"/>
      <c r="P42" s="169"/>
      <c r="Q42" s="169"/>
      <c r="R42" s="169"/>
      <c r="S42" s="169"/>
      <c r="T42" s="169"/>
      <c r="U42" s="169"/>
      <c r="V42" s="169"/>
      <c r="W42" s="169"/>
      <c r="X42" s="169"/>
      <c r="Y42" s="169"/>
      <c r="Z42" s="169"/>
      <c r="AA42" s="169"/>
      <c r="AB42" s="169"/>
      <c r="AC42" s="169"/>
      <c r="AD42" s="169"/>
      <c r="AE42" s="169"/>
      <c r="AF42" s="169"/>
      <c r="AG42" s="169"/>
      <c r="AH42" s="169"/>
    </row>
    <row r="43" ht="15.75" customHeight="1">
      <c r="A43" s="169"/>
      <c r="B43" s="38" t="s">
        <v>2889</v>
      </c>
      <c r="C43" s="191" t="s">
        <v>2903</v>
      </c>
      <c r="D43" s="40"/>
      <c r="E43" s="40"/>
      <c r="F43" s="40"/>
      <c r="G43" s="39"/>
      <c r="H43" s="42" t="s">
        <v>2904</v>
      </c>
      <c r="I43" s="188">
        <v>44250.0</v>
      </c>
      <c r="J43" s="188">
        <v>44315.0</v>
      </c>
      <c r="K43" s="189">
        <v>9308.0</v>
      </c>
      <c r="L43" s="19"/>
      <c r="M43" s="192" t="s">
        <v>2893</v>
      </c>
      <c r="N43" s="194"/>
      <c r="O43" s="169"/>
      <c r="P43" s="169"/>
      <c r="Q43" s="169"/>
      <c r="R43" s="169"/>
      <c r="S43" s="169"/>
      <c r="T43" s="169"/>
      <c r="U43" s="169"/>
      <c r="V43" s="169"/>
      <c r="W43" s="169"/>
      <c r="X43" s="169"/>
      <c r="Y43" s="169"/>
      <c r="Z43" s="169"/>
      <c r="AA43" s="169"/>
      <c r="AB43" s="169"/>
      <c r="AC43" s="169"/>
      <c r="AD43" s="169"/>
      <c r="AE43" s="169"/>
      <c r="AF43" s="169"/>
      <c r="AG43" s="169"/>
      <c r="AH43" s="169"/>
    </row>
    <row r="44" ht="15.75" customHeight="1">
      <c r="A44" s="169"/>
      <c r="B44" s="38" t="s">
        <v>2889</v>
      </c>
      <c r="C44" s="191" t="s">
        <v>2905</v>
      </c>
      <c r="D44" s="40"/>
      <c r="E44" s="40"/>
      <c r="F44" s="40"/>
      <c r="G44" s="39"/>
      <c r="H44" s="42" t="s">
        <v>2906</v>
      </c>
      <c r="I44" s="188">
        <v>44250.0</v>
      </c>
      <c r="J44" s="188">
        <v>44315.0</v>
      </c>
      <c r="K44" s="189">
        <v>1708.0</v>
      </c>
      <c r="L44" s="19"/>
      <c r="M44" s="192" t="s">
        <v>2893</v>
      </c>
      <c r="N44" s="194"/>
      <c r="O44" s="169"/>
      <c r="P44" s="169"/>
      <c r="Q44" s="169"/>
      <c r="R44" s="169"/>
      <c r="S44" s="169"/>
      <c r="T44" s="169"/>
      <c r="U44" s="169"/>
      <c r="V44" s="169"/>
      <c r="W44" s="169"/>
      <c r="X44" s="169"/>
      <c r="Y44" s="169"/>
      <c r="Z44" s="169"/>
      <c r="AA44" s="169"/>
      <c r="AB44" s="169"/>
      <c r="AC44" s="169"/>
      <c r="AD44" s="169"/>
      <c r="AE44" s="169"/>
      <c r="AF44" s="169"/>
      <c r="AG44" s="169"/>
      <c r="AH44" s="169"/>
    </row>
    <row r="45" ht="15.75" customHeight="1">
      <c r="A45" s="169"/>
      <c r="B45" s="38" t="s">
        <v>2889</v>
      </c>
      <c r="C45" s="191" t="s">
        <v>2907</v>
      </c>
      <c r="D45" s="40" t="s">
        <v>2908</v>
      </c>
      <c r="E45" s="40"/>
      <c r="F45" s="40"/>
      <c r="G45" s="39"/>
      <c r="H45" s="42" t="s">
        <v>2909</v>
      </c>
      <c r="I45" s="188">
        <v>44095.0</v>
      </c>
      <c r="J45" s="188">
        <v>44160.0</v>
      </c>
      <c r="K45" s="189">
        <v>10664.0</v>
      </c>
      <c r="L45" s="19"/>
      <c r="M45" s="192" t="s">
        <v>2893</v>
      </c>
      <c r="N45" s="194"/>
      <c r="O45" s="169"/>
      <c r="P45" s="169"/>
      <c r="Q45" s="169"/>
      <c r="R45" s="169"/>
      <c r="S45" s="169"/>
      <c r="T45" s="169"/>
      <c r="U45" s="169"/>
      <c r="V45" s="169"/>
      <c r="W45" s="169"/>
      <c r="X45" s="169"/>
      <c r="Y45" s="169"/>
      <c r="Z45" s="169"/>
      <c r="AA45" s="169"/>
      <c r="AB45" s="169"/>
      <c r="AC45" s="169"/>
      <c r="AD45" s="169"/>
      <c r="AE45" s="169"/>
      <c r="AF45" s="169"/>
      <c r="AG45" s="169"/>
      <c r="AH45" s="169"/>
    </row>
    <row r="46" ht="15.75" customHeight="1">
      <c r="A46" s="169"/>
      <c r="B46" s="38" t="s">
        <v>2889</v>
      </c>
      <c r="C46" s="191" t="s">
        <v>2910</v>
      </c>
      <c r="D46" s="40" t="s">
        <v>2911</v>
      </c>
      <c r="E46" s="40"/>
      <c r="F46" s="40"/>
      <c r="G46" s="39"/>
      <c r="H46" s="42" t="s">
        <v>2912</v>
      </c>
      <c r="I46" s="188">
        <v>44711.0</v>
      </c>
      <c r="J46" s="188">
        <v>44773.0</v>
      </c>
      <c r="K46" s="189">
        <v>2278.0</v>
      </c>
      <c r="L46" s="19"/>
      <c r="M46" s="192" t="s">
        <v>2893</v>
      </c>
      <c r="N46" s="194"/>
      <c r="O46" s="169"/>
      <c r="P46" s="169"/>
      <c r="Q46" s="169"/>
      <c r="R46" s="169"/>
      <c r="S46" s="169"/>
      <c r="T46" s="169"/>
      <c r="U46" s="169"/>
      <c r="V46" s="169"/>
      <c r="W46" s="169"/>
      <c r="X46" s="169"/>
      <c r="Y46" s="169"/>
      <c r="Z46" s="169"/>
      <c r="AA46" s="169"/>
      <c r="AB46" s="169"/>
      <c r="AC46" s="169"/>
      <c r="AD46" s="169"/>
      <c r="AE46" s="169"/>
      <c r="AF46" s="169"/>
      <c r="AG46" s="169"/>
      <c r="AH46" s="169"/>
    </row>
    <row r="47" ht="15.75" customHeight="1">
      <c r="A47" s="169"/>
      <c r="B47" s="38" t="s">
        <v>2913</v>
      </c>
      <c r="C47" s="191" t="s">
        <v>2914</v>
      </c>
      <c r="D47" s="40" t="s">
        <v>2915</v>
      </c>
      <c r="E47" s="40"/>
      <c r="F47" s="40"/>
      <c r="G47" s="39"/>
      <c r="H47" s="42" t="s">
        <v>2916</v>
      </c>
      <c r="I47" s="188">
        <v>44095.0</v>
      </c>
      <c r="J47" s="188">
        <v>44160.0</v>
      </c>
      <c r="K47" s="189">
        <v>12870.0</v>
      </c>
      <c r="L47" s="19"/>
      <c r="M47" s="192" t="s">
        <v>2893</v>
      </c>
      <c r="N47" s="194"/>
      <c r="O47" s="169"/>
      <c r="P47" s="169"/>
      <c r="Q47" s="169"/>
      <c r="R47" s="169"/>
      <c r="S47" s="169"/>
      <c r="T47" s="169"/>
      <c r="U47" s="169"/>
      <c r="V47" s="169"/>
      <c r="W47" s="169"/>
      <c r="X47" s="169"/>
      <c r="Y47" s="169"/>
      <c r="Z47" s="169"/>
      <c r="AA47" s="169"/>
      <c r="AB47" s="169"/>
      <c r="AC47" s="169"/>
      <c r="AD47" s="169"/>
      <c r="AE47" s="169"/>
      <c r="AF47" s="169"/>
      <c r="AG47" s="169"/>
      <c r="AH47" s="169"/>
    </row>
    <row r="48" ht="15.75" customHeight="1">
      <c r="A48" s="169"/>
      <c r="B48" s="38" t="s">
        <v>2913</v>
      </c>
      <c r="C48" s="191" t="s">
        <v>2917</v>
      </c>
      <c r="D48" s="40" t="s">
        <v>2918</v>
      </c>
      <c r="E48" s="40"/>
      <c r="F48" s="40"/>
      <c r="G48" s="39"/>
      <c r="H48" s="42" t="s">
        <v>2919</v>
      </c>
      <c r="I48" s="188">
        <v>44095.0</v>
      </c>
      <c r="J48" s="188">
        <v>44160.0</v>
      </c>
      <c r="K48" s="189">
        <v>14974.0</v>
      </c>
      <c r="L48" s="19"/>
      <c r="M48" s="192" t="s">
        <v>2893</v>
      </c>
      <c r="N48" s="194"/>
      <c r="O48" s="169"/>
      <c r="P48" s="169"/>
      <c r="Q48" s="169"/>
      <c r="R48" s="169"/>
      <c r="S48" s="169"/>
      <c r="T48" s="169"/>
      <c r="U48" s="169"/>
      <c r="V48" s="169"/>
      <c r="W48" s="169"/>
      <c r="X48" s="169"/>
      <c r="Y48" s="169"/>
      <c r="Z48" s="169"/>
      <c r="AA48" s="169"/>
      <c r="AB48" s="169"/>
      <c r="AC48" s="169"/>
      <c r="AD48" s="169"/>
      <c r="AE48" s="169"/>
      <c r="AF48" s="169"/>
      <c r="AG48" s="169"/>
      <c r="AH48" s="169"/>
    </row>
    <row r="49" ht="15.75" customHeight="1">
      <c r="A49" s="169"/>
      <c r="B49" s="38" t="s">
        <v>2913</v>
      </c>
      <c r="C49" s="191" t="s">
        <v>2920</v>
      </c>
      <c r="D49" s="40" t="s">
        <v>2921</v>
      </c>
      <c r="E49" s="40"/>
      <c r="F49" s="40"/>
      <c r="G49" s="39"/>
      <c r="H49" s="42" t="s">
        <v>2922</v>
      </c>
      <c r="I49" s="188">
        <v>44095.0</v>
      </c>
      <c r="J49" s="188">
        <v>44160.0</v>
      </c>
      <c r="K49" s="189">
        <v>15646.0</v>
      </c>
      <c r="L49" s="19"/>
      <c r="M49" s="192" t="s">
        <v>2893</v>
      </c>
      <c r="N49" s="194"/>
      <c r="O49" s="169"/>
      <c r="P49" s="169"/>
      <c r="Q49" s="169"/>
      <c r="R49" s="169"/>
      <c r="S49" s="169"/>
      <c r="T49" s="169"/>
      <c r="U49" s="169"/>
      <c r="V49" s="169"/>
      <c r="W49" s="169"/>
      <c r="X49" s="169"/>
      <c r="Y49" s="169"/>
      <c r="Z49" s="169"/>
      <c r="AA49" s="169"/>
      <c r="AB49" s="169"/>
      <c r="AC49" s="169"/>
      <c r="AD49" s="169"/>
      <c r="AE49" s="169"/>
      <c r="AF49" s="169"/>
      <c r="AG49" s="169"/>
      <c r="AH49" s="169"/>
    </row>
    <row r="50" ht="15.75" customHeight="1">
      <c r="A50" s="169"/>
      <c r="B50" s="38" t="s">
        <v>2913</v>
      </c>
      <c r="C50" s="191" t="s">
        <v>2923</v>
      </c>
      <c r="D50" s="40" t="s">
        <v>2924</v>
      </c>
      <c r="E50" s="40"/>
      <c r="F50" s="40"/>
      <c r="G50" s="39"/>
      <c r="H50" s="42" t="s">
        <v>2925</v>
      </c>
      <c r="I50" s="188">
        <v>44095.0</v>
      </c>
      <c r="J50" s="188">
        <v>44160.0</v>
      </c>
      <c r="K50" s="189">
        <v>16736.0</v>
      </c>
      <c r="L50" s="19"/>
      <c r="M50" s="192" t="s">
        <v>2893</v>
      </c>
      <c r="N50" s="194"/>
      <c r="O50" s="169"/>
      <c r="P50" s="169"/>
      <c r="Q50" s="169"/>
      <c r="R50" s="169"/>
      <c r="S50" s="169"/>
      <c r="T50" s="169"/>
      <c r="U50" s="169"/>
      <c r="V50" s="169"/>
      <c r="W50" s="169"/>
      <c r="X50" s="169"/>
      <c r="Y50" s="169"/>
      <c r="Z50" s="169"/>
      <c r="AA50" s="169"/>
      <c r="AB50" s="169"/>
      <c r="AC50" s="169"/>
      <c r="AD50" s="169"/>
      <c r="AE50" s="169"/>
      <c r="AF50" s="169"/>
      <c r="AG50" s="169"/>
      <c r="AH50" s="169"/>
    </row>
    <row r="51" ht="15.75" customHeight="1">
      <c r="A51" s="169"/>
      <c r="B51" s="38" t="s">
        <v>2913</v>
      </c>
      <c r="C51" s="191" t="s">
        <v>2926</v>
      </c>
      <c r="D51" s="40" t="s">
        <v>2927</v>
      </c>
      <c r="E51" s="40"/>
      <c r="F51" s="40"/>
      <c r="G51" s="39"/>
      <c r="H51" s="42" t="s">
        <v>2928</v>
      </c>
      <c r="I51" s="188">
        <v>44095.0</v>
      </c>
      <c r="J51" s="188">
        <v>44160.0</v>
      </c>
      <c r="K51" s="189">
        <v>19972.0</v>
      </c>
      <c r="L51" s="19"/>
      <c r="M51" s="190" t="s">
        <v>2893</v>
      </c>
      <c r="N51" s="193"/>
      <c r="O51" s="169"/>
      <c r="P51" s="169"/>
      <c r="Q51" s="169"/>
      <c r="R51" s="169"/>
      <c r="S51" s="169"/>
      <c r="T51" s="169"/>
      <c r="U51" s="169"/>
      <c r="V51" s="169"/>
      <c r="W51" s="169"/>
      <c r="X51" s="169"/>
      <c r="Y51" s="169"/>
      <c r="Z51" s="169"/>
      <c r="AA51" s="169"/>
      <c r="AB51" s="169"/>
      <c r="AC51" s="169"/>
      <c r="AD51" s="169"/>
      <c r="AE51" s="169"/>
      <c r="AF51" s="169"/>
      <c r="AG51" s="169"/>
      <c r="AH51" s="169"/>
    </row>
    <row r="52" ht="15.75" customHeight="1">
      <c r="A52" s="169"/>
      <c r="B52" s="38" t="s">
        <v>2913</v>
      </c>
      <c r="C52" s="191" t="s">
        <v>2929</v>
      </c>
      <c r="D52" s="40" t="s">
        <v>2930</v>
      </c>
      <c r="E52" s="40"/>
      <c r="F52" s="40"/>
      <c r="G52" s="39"/>
      <c r="H52" s="42" t="s">
        <v>2931</v>
      </c>
      <c r="I52" s="188">
        <v>44095.0</v>
      </c>
      <c r="J52" s="188">
        <v>44160.0</v>
      </c>
      <c r="K52" s="189">
        <v>5670.0</v>
      </c>
      <c r="L52" s="19"/>
      <c r="M52" s="192" t="s">
        <v>2893</v>
      </c>
      <c r="N52" s="194"/>
      <c r="O52" s="169"/>
      <c r="P52" s="169"/>
      <c r="Q52" s="169"/>
      <c r="R52" s="169"/>
      <c r="S52" s="169"/>
      <c r="T52" s="169"/>
      <c r="U52" s="169"/>
      <c r="V52" s="169"/>
      <c r="W52" s="169"/>
      <c r="X52" s="169"/>
      <c r="Y52" s="169"/>
      <c r="Z52" s="169"/>
      <c r="AA52" s="169"/>
      <c r="AB52" s="169"/>
      <c r="AC52" s="169"/>
      <c r="AD52" s="169"/>
      <c r="AE52" s="169"/>
      <c r="AF52" s="169"/>
      <c r="AG52" s="169"/>
      <c r="AH52" s="169"/>
    </row>
    <row r="53" ht="15.75" customHeight="1">
      <c r="A53" s="169"/>
      <c r="B53" s="38" t="s">
        <v>2913</v>
      </c>
      <c r="C53" s="191" t="s">
        <v>2932</v>
      </c>
      <c r="D53" s="40" t="s">
        <v>2933</v>
      </c>
      <c r="E53" s="40"/>
      <c r="F53" s="40"/>
      <c r="G53" s="39"/>
      <c r="H53" s="42" t="s">
        <v>2934</v>
      </c>
      <c r="I53" s="188">
        <v>44095.0</v>
      </c>
      <c r="J53" s="188">
        <v>44160.0</v>
      </c>
      <c r="K53" s="189">
        <v>7590.0</v>
      </c>
      <c r="L53" s="19"/>
      <c r="M53" s="192" t="s">
        <v>2893</v>
      </c>
      <c r="N53" s="194"/>
      <c r="O53" s="169"/>
      <c r="P53" s="169"/>
      <c r="Q53" s="169"/>
      <c r="R53" s="169"/>
      <c r="S53" s="169"/>
      <c r="T53" s="169"/>
      <c r="U53" s="169"/>
      <c r="V53" s="169"/>
      <c r="W53" s="169"/>
      <c r="X53" s="169"/>
      <c r="Y53" s="169"/>
      <c r="Z53" s="169"/>
      <c r="AA53" s="169"/>
      <c r="AB53" s="169"/>
      <c r="AC53" s="169"/>
      <c r="AD53" s="169"/>
      <c r="AE53" s="169"/>
      <c r="AF53" s="169"/>
      <c r="AG53" s="169"/>
      <c r="AH53" s="169"/>
    </row>
    <row r="54" ht="15.75" customHeight="1">
      <c r="A54" s="169"/>
      <c r="B54" s="38" t="s">
        <v>26</v>
      </c>
      <c r="C54" s="191" t="s">
        <v>2935</v>
      </c>
      <c r="D54" s="40" t="s">
        <v>2936</v>
      </c>
      <c r="E54" s="40"/>
      <c r="F54" s="40"/>
      <c r="G54" s="39" t="s">
        <v>26</v>
      </c>
      <c r="H54" s="42" t="s">
        <v>2937</v>
      </c>
      <c r="I54" s="188">
        <v>43883.0</v>
      </c>
      <c r="J54" s="188">
        <v>43948.0</v>
      </c>
      <c r="K54" s="189">
        <v>250.0</v>
      </c>
      <c r="L54" s="19"/>
      <c r="M54" s="192" t="s">
        <v>2893</v>
      </c>
      <c r="N54" s="194"/>
      <c r="O54" s="169"/>
      <c r="P54" s="169"/>
      <c r="Q54" s="169"/>
      <c r="R54" s="169"/>
      <c r="S54" s="169"/>
      <c r="T54" s="169"/>
      <c r="U54" s="169"/>
      <c r="V54" s="169"/>
      <c r="W54" s="169"/>
      <c r="X54" s="169"/>
      <c r="Y54" s="169"/>
      <c r="Z54" s="169"/>
      <c r="AA54" s="169"/>
      <c r="AB54" s="169"/>
      <c r="AC54" s="169"/>
      <c r="AD54" s="169"/>
      <c r="AE54" s="169"/>
      <c r="AF54" s="169"/>
      <c r="AG54" s="169"/>
      <c r="AH54" s="169"/>
    </row>
    <row r="55" ht="15.75" customHeight="1">
      <c r="A55" s="169"/>
      <c r="B55" s="38" t="s">
        <v>2119</v>
      </c>
      <c r="C55" s="191" t="s">
        <v>2938</v>
      </c>
      <c r="D55" s="39" t="s">
        <v>2939</v>
      </c>
      <c r="E55" s="40"/>
      <c r="F55" s="40"/>
      <c r="G55" s="39"/>
      <c r="H55" s="42" t="s">
        <v>2940</v>
      </c>
      <c r="I55" s="188">
        <v>44773.0</v>
      </c>
      <c r="J55" s="188">
        <v>44865.0</v>
      </c>
      <c r="K55" s="189">
        <v>1250.0</v>
      </c>
      <c r="L55" s="19"/>
      <c r="M55" s="192"/>
      <c r="N55" s="195" t="s">
        <v>2941</v>
      </c>
      <c r="O55" s="169"/>
      <c r="P55" s="169"/>
      <c r="Q55" s="169"/>
      <c r="R55" s="169"/>
      <c r="S55" s="169"/>
      <c r="T55" s="169"/>
      <c r="U55" s="169"/>
      <c r="V55" s="169"/>
      <c r="W55" s="169"/>
      <c r="X55" s="169"/>
      <c r="Y55" s="169"/>
      <c r="Z55" s="169"/>
      <c r="AA55" s="169"/>
      <c r="AB55" s="169"/>
      <c r="AC55" s="169"/>
      <c r="AD55" s="169"/>
      <c r="AE55" s="169"/>
      <c r="AF55" s="169"/>
      <c r="AG55" s="169"/>
      <c r="AH55" s="169"/>
    </row>
    <row r="56" ht="15.75" customHeight="1">
      <c r="A56" s="169"/>
      <c r="B56" s="38" t="s">
        <v>1186</v>
      </c>
      <c r="C56" s="191" t="s">
        <v>2942</v>
      </c>
      <c r="D56" s="40" t="s">
        <v>2943</v>
      </c>
      <c r="E56" s="40" t="s">
        <v>2944</v>
      </c>
      <c r="F56" s="40" t="s">
        <v>538</v>
      </c>
      <c r="G56" s="40" t="s">
        <v>131</v>
      </c>
      <c r="H56" s="42" t="s">
        <v>2945</v>
      </c>
      <c r="I56" s="188">
        <v>43801.0</v>
      </c>
      <c r="J56" s="188">
        <v>43866.0</v>
      </c>
      <c r="K56" s="189">
        <v>166.0</v>
      </c>
      <c r="L56" s="19"/>
      <c r="M56" s="192" t="s">
        <v>1215</v>
      </c>
      <c r="N56" s="119" t="s">
        <v>1217</v>
      </c>
      <c r="O56" s="169"/>
      <c r="P56" s="169"/>
      <c r="Q56" s="169"/>
      <c r="R56" s="169"/>
      <c r="S56" s="169"/>
      <c r="T56" s="169"/>
      <c r="U56" s="169"/>
      <c r="V56" s="169"/>
      <c r="W56" s="169"/>
      <c r="X56" s="169"/>
      <c r="Y56" s="169"/>
      <c r="Z56" s="169"/>
      <c r="AA56" s="169"/>
      <c r="AB56" s="169"/>
      <c r="AC56" s="169"/>
      <c r="AD56" s="169"/>
      <c r="AE56" s="169"/>
      <c r="AF56" s="169"/>
      <c r="AG56" s="169"/>
      <c r="AH56" s="169"/>
    </row>
    <row r="57" ht="15.75" customHeight="1">
      <c r="A57" s="169"/>
      <c r="B57" s="38" t="s">
        <v>1186</v>
      </c>
      <c r="C57" s="191" t="s">
        <v>2946</v>
      </c>
      <c r="D57" s="40" t="s">
        <v>2943</v>
      </c>
      <c r="E57" s="40" t="s">
        <v>2944</v>
      </c>
      <c r="F57" s="40" t="s">
        <v>538</v>
      </c>
      <c r="G57" s="40" t="s">
        <v>131</v>
      </c>
      <c r="H57" s="42" t="s">
        <v>2947</v>
      </c>
      <c r="I57" s="188">
        <v>44160.0</v>
      </c>
      <c r="J57" s="188">
        <v>44225.0</v>
      </c>
      <c r="K57" s="189">
        <v>194.0</v>
      </c>
      <c r="L57" s="19"/>
      <c r="M57" s="192" t="s">
        <v>1218</v>
      </c>
      <c r="N57" s="119" t="s">
        <v>1219</v>
      </c>
      <c r="O57" s="169"/>
      <c r="P57" s="169"/>
      <c r="Q57" s="169"/>
      <c r="R57" s="169"/>
      <c r="S57" s="169"/>
      <c r="T57" s="169"/>
      <c r="U57" s="169"/>
      <c r="V57" s="169"/>
      <c r="W57" s="169"/>
      <c r="X57" s="169"/>
      <c r="Y57" s="169"/>
      <c r="Z57" s="169"/>
      <c r="AA57" s="169"/>
      <c r="AB57" s="169"/>
      <c r="AC57" s="169"/>
      <c r="AD57" s="169"/>
      <c r="AE57" s="169"/>
      <c r="AF57" s="169"/>
      <c r="AG57" s="169"/>
      <c r="AH57" s="169"/>
    </row>
    <row r="58" ht="15.75" customHeight="1">
      <c r="A58" s="169"/>
      <c r="B58" s="38" t="s">
        <v>1186</v>
      </c>
      <c r="C58" s="191" t="s">
        <v>2948</v>
      </c>
      <c r="D58" s="40" t="s">
        <v>2949</v>
      </c>
      <c r="E58" s="40" t="s">
        <v>2944</v>
      </c>
      <c r="F58" s="40" t="s">
        <v>538</v>
      </c>
      <c r="G58" s="40" t="s">
        <v>192</v>
      </c>
      <c r="H58" s="42" t="s">
        <v>2950</v>
      </c>
      <c r="I58" s="188">
        <v>43843.0</v>
      </c>
      <c r="J58" s="188">
        <v>43908.0</v>
      </c>
      <c r="K58" s="189">
        <v>166.0</v>
      </c>
      <c r="L58" s="19"/>
      <c r="M58" s="192" t="s">
        <v>1209</v>
      </c>
      <c r="N58" s="119" t="s">
        <v>1210</v>
      </c>
      <c r="O58" s="169"/>
      <c r="P58" s="169"/>
      <c r="Q58" s="169"/>
      <c r="R58" s="169"/>
      <c r="S58" s="169"/>
      <c r="T58" s="169"/>
      <c r="U58" s="169"/>
      <c r="V58" s="169"/>
      <c r="W58" s="169"/>
      <c r="X58" s="169"/>
      <c r="Y58" s="169"/>
      <c r="Z58" s="169"/>
      <c r="AA58" s="169"/>
      <c r="AB58" s="169"/>
      <c r="AC58" s="169"/>
      <c r="AD58" s="169"/>
      <c r="AE58" s="169"/>
      <c r="AF58" s="169"/>
      <c r="AG58" s="169"/>
      <c r="AH58" s="169"/>
    </row>
    <row r="59" ht="15.75" customHeight="1">
      <c r="A59" s="169"/>
      <c r="B59" s="38" t="s">
        <v>1186</v>
      </c>
      <c r="C59" s="191" t="s">
        <v>2951</v>
      </c>
      <c r="D59" s="40" t="s">
        <v>2949</v>
      </c>
      <c r="E59" s="40" t="s">
        <v>2944</v>
      </c>
      <c r="F59" s="40" t="s">
        <v>538</v>
      </c>
      <c r="G59" s="40" t="s">
        <v>192</v>
      </c>
      <c r="H59" s="42" t="s">
        <v>2952</v>
      </c>
      <c r="I59" s="188">
        <v>44160.0</v>
      </c>
      <c r="J59" s="188">
        <v>44225.0</v>
      </c>
      <c r="K59" s="189">
        <v>166.0</v>
      </c>
      <c r="L59" s="19"/>
      <c r="M59" s="192" t="s">
        <v>1211</v>
      </c>
      <c r="N59" s="119" t="s">
        <v>1212</v>
      </c>
      <c r="O59" s="169"/>
      <c r="P59" s="169"/>
      <c r="Q59" s="169"/>
      <c r="R59" s="169"/>
      <c r="S59" s="169"/>
      <c r="T59" s="169"/>
      <c r="U59" s="169"/>
      <c r="V59" s="169"/>
      <c r="W59" s="169"/>
      <c r="X59" s="169"/>
      <c r="Y59" s="169"/>
      <c r="Z59" s="169"/>
      <c r="AA59" s="169"/>
      <c r="AB59" s="169"/>
      <c r="AC59" s="169"/>
      <c r="AD59" s="169"/>
      <c r="AE59" s="169"/>
      <c r="AF59" s="169"/>
      <c r="AG59" s="169"/>
      <c r="AH59" s="169"/>
    </row>
    <row r="60" ht="15.75" customHeight="1">
      <c r="A60" s="169"/>
      <c r="B60" s="38" t="s">
        <v>1186</v>
      </c>
      <c r="C60" s="191" t="s">
        <v>2953</v>
      </c>
      <c r="D60" s="40" t="s">
        <v>2949</v>
      </c>
      <c r="E60" s="40" t="s">
        <v>2944</v>
      </c>
      <c r="F60" s="40" t="s">
        <v>538</v>
      </c>
      <c r="G60" s="40" t="s">
        <v>192</v>
      </c>
      <c r="H60" s="42" t="s">
        <v>2954</v>
      </c>
      <c r="I60" s="188">
        <v>44677.0</v>
      </c>
      <c r="J60" s="188">
        <v>44742.0</v>
      </c>
      <c r="K60" s="189">
        <v>166.0</v>
      </c>
      <c r="L60" s="19"/>
      <c r="M60" s="192" t="s">
        <v>1213</v>
      </c>
      <c r="N60" s="119" t="s">
        <v>1214</v>
      </c>
      <c r="O60" s="169"/>
      <c r="P60" s="169"/>
      <c r="Q60" s="169"/>
      <c r="R60" s="169"/>
      <c r="S60" s="169"/>
      <c r="T60" s="169"/>
      <c r="U60" s="169"/>
      <c r="V60" s="169"/>
      <c r="W60" s="169"/>
      <c r="X60" s="169"/>
      <c r="Y60" s="169"/>
      <c r="Z60" s="169"/>
      <c r="AA60" s="169"/>
      <c r="AB60" s="169"/>
      <c r="AC60" s="169"/>
      <c r="AD60" s="169"/>
      <c r="AE60" s="169"/>
      <c r="AF60" s="169"/>
      <c r="AG60" s="169"/>
      <c r="AH60" s="169"/>
    </row>
    <row r="61" ht="15.75" customHeight="1">
      <c r="A61" s="169"/>
      <c r="B61" s="38" t="s">
        <v>1186</v>
      </c>
      <c r="C61" s="191" t="s">
        <v>2955</v>
      </c>
      <c r="D61" s="40" t="s">
        <v>2949</v>
      </c>
      <c r="E61" s="40" t="s">
        <v>2944</v>
      </c>
      <c r="F61" s="40" t="s">
        <v>538</v>
      </c>
      <c r="G61" s="40" t="s">
        <v>192</v>
      </c>
      <c r="H61" s="42" t="s">
        <v>2956</v>
      </c>
      <c r="I61" s="188">
        <v>43843.0</v>
      </c>
      <c r="J61" s="188">
        <v>43908.0</v>
      </c>
      <c r="K61" s="189">
        <v>248.0</v>
      </c>
      <c r="L61" s="19"/>
      <c r="M61" s="192" t="s">
        <v>1206</v>
      </c>
      <c r="N61" s="119" t="s">
        <v>1208</v>
      </c>
      <c r="O61" s="169"/>
      <c r="P61" s="169"/>
      <c r="Q61" s="169"/>
      <c r="R61" s="169"/>
      <c r="S61" s="169"/>
      <c r="T61" s="169"/>
      <c r="U61" s="169"/>
      <c r="V61" s="169"/>
      <c r="W61" s="169"/>
      <c r="X61" s="169"/>
      <c r="Y61" s="169"/>
      <c r="Z61" s="169"/>
      <c r="AA61" s="169"/>
      <c r="AB61" s="169"/>
      <c r="AC61" s="169"/>
      <c r="AD61" s="169"/>
      <c r="AE61" s="169"/>
      <c r="AF61" s="169"/>
      <c r="AG61" s="169"/>
      <c r="AH61" s="169"/>
    </row>
    <row r="62" ht="15.75" customHeight="1">
      <c r="A62" s="169"/>
      <c r="B62" s="38" t="s">
        <v>1186</v>
      </c>
      <c r="C62" s="191" t="s">
        <v>2957</v>
      </c>
      <c r="D62" s="40" t="s">
        <v>2958</v>
      </c>
      <c r="E62" s="40" t="s">
        <v>2944</v>
      </c>
      <c r="F62" s="40" t="s">
        <v>623</v>
      </c>
      <c r="G62" s="39" t="s">
        <v>123</v>
      </c>
      <c r="H62" s="42" t="s">
        <v>2959</v>
      </c>
      <c r="I62" s="188">
        <v>43934.0</v>
      </c>
      <c r="J62" s="188">
        <v>43999.0</v>
      </c>
      <c r="K62" s="189">
        <v>862.0</v>
      </c>
      <c r="L62" s="19"/>
      <c r="M62" s="192" t="s">
        <v>2893</v>
      </c>
      <c r="N62" s="194"/>
      <c r="O62" s="169"/>
      <c r="P62" s="169"/>
      <c r="Q62" s="169"/>
      <c r="R62" s="169"/>
      <c r="S62" s="169"/>
      <c r="T62" s="169"/>
      <c r="U62" s="169"/>
      <c r="V62" s="169"/>
      <c r="W62" s="169"/>
      <c r="X62" s="169"/>
      <c r="Y62" s="169"/>
      <c r="Z62" s="169"/>
      <c r="AA62" s="169"/>
      <c r="AB62" s="169"/>
      <c r="AC62" s="169"/>
      <c r="AD62" s="169"/>
      <c r="AE62" s="169"/>
      <c r="AF62" s="169"/>
      <c r="AG62" s="169"/>
      <c r="AH62" s="169"/>
    </row>
    <row r="63" ht="15.75" customHeight="1">
      <c r="A63" s="169"/>
      <c r="B63" s="38" t="s">
        <v>1186</v>
      </c>
      <c r="C63" s="191" t="s">
        <v>2960</v>
      </c>
      <c r="D63" s="40" t="s">
        <v>2961</v>
      </c>
      <c r="E63" s="40" t="s">
        <v>2944</v>
      </c>
      <c r="F63" s="40" t="s">
        <v>538</v>
      </c>
      <c r="G63" s="40" t="s">
        <v>18</v>
      </c>
      <c r="H63" s="42" t="s">
        <v>2962</v>
      </c>
      <c r="I63" s="188">
        <v>43843.0</v>
      </c>
      <c r="J63" s="188">
        <v>43908.0</v>
      </c>
      <c r="K63" s="189">
        <v>184.0</v>
      </c>
      <c r="L63" s="19"/>
      <c r="M63" s="192" t="s">
        <v>1191</v>
      </c>
      <c r="N63" s="119" t="s">
        <v>1192</v>
      </c>
      <c r="O63" s="169"/>
      <c r="P63" s="169"/>
      <c r="Q63" s="169"/>
      <c r="R63" s="169"/>
      <c r="S63" s="169"/>
      <c r="T63" s="169"/>
      <c r="U63" s="169"/>
      <c r="V63" s="169"/>
      <c r="W63" s="169"/>
      <c r="X63" s="169"/>
      <c r="Y63" s="169"/>
      <c r="Z63" s="169"/>
      <c r="AA63" s="169"/>
      <c r="AB63" s="169"/>
      <c r="AC63" s="169"/>
      <c r="AD63" s="169"/>
      <c r="AE63" s="169"/>
      <c r="AF63" s="169"/>
      <c r="AG63" s="169"/>
      <c r="AH63" s="169"/>
    </row>
    <row r="64" ht="15.75" customHeight="1">
      <c r="A64" s="169"/>
      <c r="B64" s="38" t="s">
        <v>1186</v>
      </c>
      <c r="C64" s="191" t="s">
        <v>2963</v>
      </c>
      <c r="D64" s="40" t="s">
        <v>2961</v>
      </c>
      <c r="E64" s="40" t="s">
        <v>2944</v>
      </c>
      <c r="F64" s="40" t="s">
        <v>538</v>
      </c>
      <c r="G64" s="40" t="s">
        <v>18</v>
      </c>
      <c r="H64" s="42" t="s">
        <v>2964</v>
      </c>
      <c r="I64" s="188">
        <v>43801.0</v>
      </c>
      <c r="J64" s="188">
        <v>43866.0</v>
      </c>
      <c r="K64" s="189">
        <v>184.0</v>
      </c>
      <c r="L64" s="19"/>
      <c r="M64" s="192" t="s">
        <v>1193</v>
      </c>
      <c r="N64" s="119" t="s">
        <v>1194</v>
      </c>
      <c r="O64" s="169"/>
      <c r="P64" s="169"/>
      <c r="Q64" s="169"/>
      <c r="R64" s="169"/>
      <c r="S64" s="169"/>
      <c r="T64" s="169"/>
      <c r="U64" s="169"/>
      <c r="V64" s="169"/>
      <c r="W64" s="169"/>
      <c r="X64" s="169"/>
      <c r="Y64" s="169"/>
      <c r="Z64" s="169"/>
      <c r="AA64" s="169"/>
      <c r="AB64" s="169"/>
      <c r="AC64" s="169"/>
      <c r="AD64" s="169"/>
      <c r="AE64" s="169"/>
      <c r="AF64" s="169"/>
      <c r="AG64" s="169"/>
      <c r="AH64" s="169"/>
    </row>
    <row r="65" ht="15.75" customHeight="1">
      <c r="A65" s="169"/>
      <c r="B65" s="38" t="s">
        <v>1186</v>
      </c>
      <c r="C65" s="191" t="s">
        <v>2965</v>
      </c>
      <c r="D65" s="40" t="s">
        <v>2961</v>
      </c>
      <c r="E65" s="40" t="s">
        <v>2944</v>
      </c>
      <c r="F65" s="40" t="s">
        <v>538</v>
      </c>
      <c r="G65" s="40" t="s">
        <v>18</v>
      </c>
      <c r="H65" s="42" t="s">
        <v>2966</v>
      </c>
      <c r="I65" s="188">
        <v>43801.0</v>
      </c>
      <c r="J65" s="188">
        <v>43866.0</v>
      </c>
      <c r="K65" s="189">
        <v>184.0</v>
      </c>
      <c r="L65" s="19"/>
      <c r="M65" s="192" t="s">
        <v>1195</v>
      </c>
      <c r="N65" s="119" t="s">
        <v>1196</v>
      </c>
      <c r="O65" s="169"/>
      <c r="P65" s="169"/>
      <c r="Q65" s="169"/>
      <c r="R65" s="169"/>
      <c r="S65" s="169"/>
      <c r="T65" s="169"/>
      <c r="U65" s="169"/>
      <c r="V65" s="169"/>
      <c r="W65" s="169"/>
      <c r="X65" s="169"/>
      <c r="Y65" s="169"/>
      <c r="Z65" s="169"/>
      <c r="AA65" s="169"/>
      <c r="AB65" s="169"/>
      <c r="AC65" s="169"/>
      <c r="AD65" s="169"/>
      <c r="AE65" s="169"/>
      <c r="AF65" s="169"/>
      <c r="AG65" s="169"/>
      <c r="AH65" s="169"/>
    </row>
    <row r="66" ht="15.75" customHeight="1">
      <c r="A66" s="169"/>
      <c r="B66" s="38" t="s">
        <v>1186</v>
      </c>
      <c r="C66" s="191" t="s">
        <v>2967</v>
      </c>
      <c r="D66" s="40" t="s">
        <v>2961</v>
      </c>
      <c r="E66" s="40" t="s">
        <v>2944</v>
      </c>
      <c r="F66" s="40" t="s">
        <v>538</v>
      </c>
      <c r="G66" s="40" t="s">
        <v>18</v>
      </c>
      <c r="H66" s="42" t="s">
        <v>2968</v>
      </c>
      <c r="I66" s="188">
        <v>43801.0</v>
      </c>
      <c r="J66" s="188">
        <v>43866.0</v>
      </c>
      <c r="K66" s="189">
        <v>276.0</v>
      </c>
      <c r="L66" s="19"/>
      <c r="M66" s="192" t="s">
        <v>1187</v>
      </c>
      <c r="N66" s="119" t="s">
        <v>1190</v>
      </c>
      <c r="O66" s="169"/>
      <c r="P66" s="169"/>
      <c r="Q66" s="169"/>
      <c r="R66" s="169"/>
      <c r="S66" s="169"/>
      <c r="T66" s="169"/>
      <c r="U66" s="169"/>
      <c r="V66" s="169"/>
      <c r="W66" s="169"/>
      <c r="X66" s="169"/>
      <c r="Y66" s="169"/>
      <c r="Z66" s="169"/>
      <c r="AA66" s="169"/>
      <c r="AB66" s="169"/>
      <c r="AC66" s="169"/>
      <c r="AD66" s="169"/>
      <c r="AE66" s="169"/>
      <c r="AF66" s="169"/>
      <c r="AG66" s="169"/>
      <c r="AH66" s="169"/>
    </row>
    <row r="67" ht="15.75" customHeight="1">
      <c r="A67" s="169"/>
      <c r="B67" s="38" t="s">
        <v>1186</v>
      </c>
      <c r="C67" s="191" t="s">
        <v>2969</v>
      </c>
      <c r="D67" s="40" t="s">
        <v>2970</v>
      </c>
      <c r="E67" s="40" t="s">
        <v>2944</v>
      </c>
      <c r="F67" s="40" t="s">
        <v>623</v>
      </c>
      <c r="G67" s="39" t="s">
        <v>213</v>
      </c>
      <c r="H67" s="48" t="s">
        <v>2971</v>
      </c>
      <c r="I67" s="188">
        <v>44742.0</v>
      </c>
      <c r="J67" s="188">
        <v>44773.0</v>
      </c>
      <c r="K67" s="189">
        <v>1118.0</v>
      </c>
      <c r="L67" s="19"/>
      <c r="M67" s="192" t="s">
        <v>2893</v>
      </c>
      <c r="N67" s="119"/>
      <c r="O67" s="169"/>
      <c r="P67" s="169"/>
      <c r="Q67" s="169"/>
      <c r="R67" s="169"/>
      <c r="S67" s="169"/>
      <c r="T67" s="169"/>
      <c r="U67" s="169"/>
      <c r="V67" s="169"/>
      <c r="W67" s="169"/>
      <c r="X67" s="169"/>
      <c r="Y67" s="169"/>
      <c r="Z67" s="169"/>
      <c r="AA67" s="169"/>
      <c r="AB67" s="169"/>
      <c r="AC67" s="169"/>
      <c r="AD67" s="169"/>
      <c r="AE67" s="169"/>
      <c r="AF67" s="169"/>
      <c r="AG67" s="169"/>
      <c r="AH67" s="169"/>
    </row>
    <row r="68" ht="15.75" customHeight="1">
      <c r="A68" s="169"/>
      <c r="B68" s="38" t="s">
        <v>1186</v>
      </c>
      <c r="C68" s="191" t="s">
        <v>2969</v>
      </c>
      <c r="D68" s="40" t="s">
        <v>2970</v>
      </c>
      <c r="E68" s="40" t="s">
        <v>2944</v>
      </c>
      <c r="F68" s="40" t="s">
        <v>623</v>
      </c>
      <c r="G68" s="39" t="s">
        <v>213</v>
      </c>
      <c r="H68" s="42" t="s">
        <v>2971</v>
      </c>
      <c r="I68" s="188">
        <v>44742.0</v>
      </c>
      <c r="J68" s="188">
        <v>44773.0</v>
      </c>
      <c r="K68" s="189">
        <v>1118.0</v>
      </c>
      <c r="L68" s="19"/>
      <c r="M68" s="192" t="s">
        <v>2972</v>
      </c>
      <c r="N68" s="119" t="s">
        <v>2973</v>
      </c>
      <c r="O68" s="169"/>
      <c r="P68" s="169"/>
      <c r="Q68" s="169"/>
      <c r="R68" s="169"/>
      <c r="S68" s="169"/>
      <c r="T68" s="169"/>
      <c r="U68" s="169"/>
      <c r="V68" s="169"/>
      <c r="W68" s="169"/>
      <c r="X68" s="169"/>
      <c r="Y68" s="169"/>
      <c r="Z68" s="169"/>
      <c r="AA68" s="169"/>
      <c r="AB68" s="169"/>
      <c r="AC68" s="169"/>
      <c r="AD68" s="169"/>
      <c r="AE68" s="169"/>
      <c r="AF68" s="169"/>
      <c r="AG68" s="169"/>
      <c r="AH68" s="169"/>
    </row>
    <row r="69" ht="15.75" customHeight="1">
      <c r="A69" s="169"/>
      <c r="B69" s="38" t="s">
        <v>1186</v>
      </c>
      <c r="C69" s="191" t="s">
        <v>2974</v>
      </c>
      <c r="D69" s="40" t="s">
        <v>2975</v>
      </c>
      <c r="E69" s="40" t="s">
        <v>2944</v>
      </c>
      <c r="F69" s="40" t="s">
        <v>623</v>
      </c>
      <c r="G69" s="39" t="s">
        <v>213</v>
      </c>
      <c r="H69" s="42" t="s">
        <v>2976</v>
      </c>
      <c r="I69" s="188">
        <v>44708.0</v>
      </c>
      <c r="J69" s="188">
        <v>44773.0</v>
      </c>
      <c r="K69" s="189">
        <v>1282.0</v>
      </c>
      <c r="L69" s="19"/>
      <c r="M69" s="192" t="s">
        <v>2893</v>
      </c>
      <c r="N69" s="119" t="s">
        <v>2977</v>
      </c>
      <c r="O69" s="169"/>
      <c r="P69" s="169"/>
      <c r="Q69" s="169"/>
      <c r="R69" s="169"/>
      <c r="S69" s="169"/>
      <c r="T69" s="169"/>
      <c r="U69" s="169"/>
      <c r="V69" s="169"/>
      <c r="W69" s="169"/>
      <c r="X69" s="169"/>
      <c r="Y69" s="169"/>
      <c r="Z69" s="169"/>
      <c r="AA69" s="169"/>
      <c r="AB69" s="169"/>
      <c r="AC69" s="169"/>
      <c r="AD69" s="169"/>
      <c r="AE69" s="169"/>
      <c r="AF69" s="169"/>
      <c r="AG69" s="169"/>
      <c r="AH69" s="169"/>
    </row>
    <row r="70" ht="15.75" customHeight="1">
      <c r="A70" s="169"/>
      <c r="B70" s="38" t="s">
        <v>1186</v>
      </c>
      <c r="C70" s="191" t="s">
        <v>2978</v>
      </c>
      <c r="D70" s="40" t="s">
        <v>2979</v>
      </c>
      <c r="E70" s="40" t="s">
        <v>2944</v>
      </c>
      <c r="F70" s="40" t="s">
        <v>538</v>
      </c>
      <c r="G70" s="40" t="s">
        <v>184</v>
      </c>
      <c r="H70" s="42" t="s">
        <v>2980</v>
      </c>
      <c r="I70" s="188">
        <v>43801.0</v>
      </c>
      <c r="J70" s="188">
        <v>43866.0</v>
      </c>
      <c r="K70" s="189">
        <v>184.0</v>
      </c>
      <c r="L70" s="19"/>
      <c r="M70" s="192" t="s">
        <v>1200</v>
      </c>
      <c r="N70" s="119" t="s">
        <v>1201</v>
      </c>
      <c r="O70" s="169"/>
      <c r="P70" s="169"/>
      <c r="Q70" s="169"/>
      <c r="R70" s="169"/>
      <c r="S70" s="169"/>
      <c r="T70" s="169"/>
      <c r="U70" s="169"/>
      <c r="V70" s="169"/>
      <c r="W70" s="169"/>
      <c r="X70" s="169"/>
      <c r="Y70" s="169"/>
      <c r="Z70" s="169"/>
      <c r="AA70" s="169"/>
      <c r="AB70" s="169"/>
      <c r="AC70" s="169"/>
      <c r="AD70" s="169"/>
      <c r="AE70" s="169"/>
      <c r="AF70" s="169"/>
      <c r="AG70" s="169"/>
      <c r="AH70" s="169"/>
    </row>
    <row r="71" ht="15.75" customHeight="1">
      <c r="A71" s="169"/>
      <c r="B71" s="38" t="s">
        <v>1186</v>
      </c>
      <c r="C71" s="191" t="s">
        <v>2981</v>
      </c>
      <c r="D71" s="40" t="s">
        <v>2979</v>
      </c>
      <c r="E71" s="40" t="s">
        <v>2944</v>
      </c>
      <c r="F71" s="40" t="s">
        <v>538</v>
      </c>
      <c r="G71" s="40" t="s">
        <v>184</v>
      </c>
      <c r="H71" s="42" t="s">
        <v>2982</v>
      </c>
      <c r="I71" s="188">
        <v>43801.0</v>
      </c>
      <c r="J71" s="188">
        <v>43866.0</v>
      </c>
      <c r="K71" s="189">
        <v>184.0</v>
      </c>
      <c r="L71" s="19"/>
      <c r="M71" s="192" t="s">
        <v>1202</v>
      </c>
      <c r="N71" s="119" t="s">
        <v>1203</v>
      </c>
      <c r="O71" s="169"/>
      <c r="P71" s="169"/>
      <c r="Q71" s="169"/>
      <c r="R71" s="169"/>
      <c r="S71" s="169"/>
      <c r="T71" s="169"/>
      <c r="U71" s="169"/>
      <c r="V71" s="169"/>
      <c r="W71" s="169"/>
      <c r="X71" s="169"/>
      <c r="Y71" s="169"/>
      <c r="Z71" s="169"/>
      <c r="AA71" s="169"/>
      <c r="AB71" s="169"/>
      <c r="AC71" s="169"/>
      <c r="AD71" s="169"/>
      <c r="AE71" s="169"/>
      <c r="AF71" s="169"/>
      <c r="AG71" s="169"/>
      <c r="AH71" s="169"/>
    </row>
    <row r="72" ht="15.75" customHeight="1">
      <c r="A72" s="169"/>
      <c r="B72" s="38" t="s">
        <v>1186</v>
      </c>
      <c r="C72" s="191" t="s">
        <v>2983</v>
      </c>
      <c r="D72" s="40" t="s">
        <v>2979</v>
      </c>
      <c r="E72" s="40" t="s">
        <v>2944</v>
      </c>
      <c r="F72" s="40" t="s">
        <v>538</v>
      </c>
      <c r="G72" s="40" t="s">
        <v>184</v>
      </c>
      <c r="H72" s="42" t="s">
        <v>2984</v>
      </c>
      <c r="I72" s="188">
        <v>44500.0</v>
      </c>
      <c r="J72" s="188">
        <v>44565.0</v>
      </c>
      <c r="K72" s="189">
        <v>184.0</v>
      </c>
      <c r="L72" s="19"/>
      <c r="M72" s="192" t="s">
        <v>1204</v>
      </c>
      <c r="N72" s="119" t="s">
        <v>1205</v>
      </c>
      <c r="O72" s="169"/>
      <c r="P72" s="169"/>
      <c r="Q72" s="169"/>
      <c r="R72" s="169"/>
      <c r="S72" s="169"/>
      <c r="T72" s="169"/>
      <c r="U72" s="169"/>
      <c r="V72" s="169"/>
      <c r="W72" s="169"/>
      <c r="X72" s="169"/>
      <c r="Y72" s="169"/>
      <c r="Z72" s="169"/>
      <c r="AA72" s="169"/>
      <c r="AB72" s="169"/>
      <c r="AC72" s="169"/>
      <c r="AD72" s="169"/>
      <c r="AE72" s="169"/>
      <c r="AF72" s="169"/>
      <c r="AG72" s="169"/>
      <c r="AH72" s="169"/>
    </row>
    <row r="73" ht="15.75" customHeight="1">
      <c r="A73" s="169"/>
      <c r="B73" s="38" t="s">
        <v>1186</v>
      </c>
      <c r="C73" s="191" t="s">
        <v>2985</v>
      </c>
      <c r="D73" s="40" t="s">
        <v>2979</v>
      </c>
      <c r="E73" s="40" t="s">
        <v>2944</v>
      </c>
      <c r="F73" s="40" t="s">
        <v>538</v>
      </c>
      <c r="G73" s="40" t="s">
        <v>184</v>
      </c>
      <c r="H73" s="42" t="s">
        <v>2986</v>
      </c>
      <c r="I73" s="188">
        <v>43801.0</v>
      </c>
      <c r="J73" s="188">
        <v>43866.0</v>
      </c>
      <c r="K73" s="189">
        <v>276.0</v>
      </c>
      <c r="L73" s="19"/>
      <c r="M73" s="192" t="s">
        <v>1197</v>
      </c>
      <c r="N73" s="119" t="s">
        <v>1199</v>
      </c>
      <c r="O73" s="169"/>
      <c r="P73" s="169"/>
      <c r="Q73" s="169"/>
      <c r="R73" s="169"/>
      <c r="S73" s="169"/>
      <c r="T73" s="169"/>
      <c r="U73" s="169"/>
      <c r="V73" s="169"/>
      <c r="W73" s="169"/>
      <c r="X73" s="169"/>
      <c r="Y73" s="169"/>
      <c r="Z73" s="169"/>
      <c r="AA73" s="169"/>
      <c r="AB73" s="169"/>
      <c r="AC73" s="169"/>
      <c r="AD73" s="169"/>
      <c r="AE73" s="169"/>
      <c r="AF73" s="169"/>
      <c r="AG73" s="169"/>
      <c r="AH73" s="169"/>
    </row>
    <row r="74" ht="15.75" customHeight="1">
      <c r="A74" s="169"/>
      <c r="B74" s="38" t="s">
        <v>1186</v>
      </c>
      <c r="C74" s="191" t="s">
        <v>2987</v>
      </c>
      <c r="D74" s="40" t="s">
        <v>2988</v>
      </c>
      <c r="E74" s="40" t="s">
        <v>2944</v>
      </c>
      <c r="F74" s="40" t="s">
        <v>623</v>
      </c>
      <c r="G74" s="39" t="s">
        <v>795</v>
      </c>
      <c r="H74" s="42" t="s">
        <v>2989</v>
      </c>
      <c r="I74" s="188">
        <v>44053.0</v>
      </c>
      <c r="J74" s="188">
        <v>44118.0</v>
      </c>
      <c r="K74" s="189">
        <v>520.0</v>
      </c>
      <c r="L74" s="19"/>
      <c r="M74" s="192" t="s">
        <v>2990</v>
      </c>
      <c r="N74" s="119"/>
      <c r="O74" s="169"/>
      <c r="P74" s="169"/>
      <c r="Q74" s="169"/>
      <c r="R74" s="169"/>
      <c r="S74" s="169"/>
      <c r="T74" s="169"/>
      <c r="U74" s="169"/>
      <c r="V74" s="169"/>
      <c r="W74" s="169"/>
      <c r="X74" s="169"/>
      <c r="Y74" s="169"/>
      <c r="Z74" s="169"/>
      <c r="AA74" s="169"/>
      <c r="AB74" s="169"/>
      <c r="AC74" s="169"/>
      <c r="AD74" s="169"/>
      <c r="AE74" s="169"/>
      <c r="AF74" s="169"/>
      <c r="AG74" s="169"/>
      <c r="AH74" s="169"/>
    </row>
    <row r="75" ht="15.75" customHeight="1">
      <c r="A75" s="169"/>
      <c r="B75" s="38" t="s">
        <v>1186</v>
      </c>
      <c r="C75" s="191" t="s">
        <v>2990</v>
      </c>
      <c r="D75" s="40" t="s">
        <v>2988</v>
      </c>
      <c r="E75" s="40" t="s">
        <v>2944</v>
      </c>
      <c r="F75" s="40" t="s">
        <v>623</v>
      </c>
      <c r="G75" s="39" t="s">
        <v>795</v>
      </c>
      <c r="H75" s="48" t="s">
        <v>2991</v>
      </c>
      <c r="I75" s="188">
        <v>44742.0</v>
      </c>
      <c r="J75" s="188">
        <v>44773.0</v>
      </c>
      <c r="K75" s="189">
        <v>520.0</v>
      </c>
      <c r="L75" s="19"/>
      <c r="M75" s="192" t="s">
        <v>2893</v>
      </c>
      <c r="N75" s="119"/>
      <c r="O75" s="169"/>
      <c r="P75" s="169"/>
      <c r="Q75" s="169"/>
      <c r="R75" s="169"/>
      <c r="S75" s="169"/>
      <c r="T75" s="169"/>
      <c r="U75" s="169"/>
      <c r="V75" s="169"/>
      <c r="W75" s="169"/>
      <c r="X75" s="169"/>
      <c r="Y75" s="169"/>
      <c r="Z75" s="169"/>
      <c r="AA75" s="169"/>
      <c r="AB75" s="169"/>
      <c r="AC75" s="169"/>
      <c r="AD75" s="169"/>
      <c r="AE75" s="169"/>
      <c r="AF75" s="169"/>
      <c r="AG75" s="169"/>
      <c r="AH75" s="169"/>
    </row>
    <row r="76" ht="15.75" customHeight="1">
      <c r="A76" s="169"/>
      <c r="B76" s="38" t="s">
        <v>2992</v>
      </c>
      <c r="C76" s="191" t="s">
        <v>2993</v>
      </c>
      <c r="D76" s="40" t="s">
        <v>2993</v>
      </c>
      <c r="E76" s="40"/>
      <c r="F76" s="40"/>
      <c r="G76" s="39"/>
      <c r="H76" s="42" t="s">
        <v>2994</v>
      </c>
      <c r="I76" s="188">
        <v>44555.0</v>
      </c>
      <c r="J76" s="188">
        <v>44620.0</v>
      </c>
      <c r="K76" s="189">
        <v>639.0</v>
      </c>
      <c r="L76" s="19"/>
      <c r="M76" s="192" t="s">
        <v>2995</v>
      </c>
      <c r="N76" s="119" t="s">
        <v>97</v>
      </c>
      <c r="O76" s="169"/>
      <c r="P76" s="169"/>
      <c r="Q76" s="169"/>
      <c r="R76" s="169"/>
      <c r="S76" s="169"/>
      <c r="T76" s="169"/>
      <c r="U76" s="169"/>
      <c r="V76" s="169"/>
      <c r="W76" s="169"/>
      <c r="X76" s="169"/>
      <c r="Y76" s="169"/>
      <c r="Z76" s="169"/>
      <c r="AA76" s="169"/>
      <c r="AB76" s="169"/>
      <c r="AC76" s="169"/>
      <c r="AD76" s="169"/>
      <c r="AE76" s="169"/>
      <c r="AF76" s="169"/>
      <c r="AG76" s="169"/>
      <c r="AH76" s="169"/>
    </row>
    <row r="77" ht="15.75" customHeight="1">
      <c r="A77" s="169"/>
      <c r="B77" s="38" t="s">
        <v>2992</v>
      </c>
      <c r="C77" s="191" t="s">
        <v>2996</v>
      </c>
      <c r="D77" s="40"/>
      <c r="E77" s="40"/>
      <c r="F77" s="40"/>
      <c r="G77" s="39"/>
      <c r="H77" s="42" t="s">
        <v>2997</v>
      </c>
      <c r="I77" s="188">
        <v>44250.0</v>
      </c>
      <c r="J77" s="188">
        <v>44315.0</v>
      </c>
      <c r="K77" s="189">
        <v>795.0</v>
      </c>
      <c r="L77" s="19"/>
      <c r="M77" s="192" t="s">
        <v>2893</v>
      </c>
      <c r="N77" s="194"/>
      <c r="O77" s="169"/>
      <c r="P77" s="169"/>
      <c r="Q77" s="169"/>
      <c r="R77" s="169"/>
      <c r="S77" s="169"/>
      <c r="T77" s="169"/>
      <c r="U77" s="169"/>
      <c r="V77" s="169"/>
      <c r="W77" s="169"/>
      <c r="X77" s="169"/>
      <c r="Y77" s="169"/>
      <c r="Z77" s="169"/>
      <c r="AA77" s="169"/>
      <c r="AB77" s="169"/>
      <c r="AC77" s="169"/>
      <c r="AD77" s="169"/>
      <c r="AE77" s="169"/>
      <c r="AF77" s="169"/>
      <c r="AG77" s="169"/>
      <c r="AH77" s="169"/>
    </row>
    <row r="78" ht="15.75" customHeight="1">
      <c r="A78" s="169"/>
      <c r="B78" s="38" t="s">
        <v>2992</v>
      </c>
      <c r="C78" s="191" t="s">
        <v>2998</v>
      </c>
      <c r="D78" s="40" t="s">
        <v>2999</v>
      </c>
      <c r="E78" s="40"/>
      <c r="F78" s="40"/>
      <c r="G78" s="39"/>
      <c r="H78" s="42" t="s">
        <v>3000</v>
      </c>
      <c r="I78" s="188">
        <v>44555.0</v>
      </c>
      <c r="J78" s="188">
        <v>44620.0</v>
      </c>
      <c r="K78" s="189">
        <v>641.0</v>
      </c>
      <c r="L78" s="19"/>
      <c r="M78" s="192" t="s">
        <v>3001</v>
      </c>
      <c r="N78" s="119" t="s">
        <v>97</v>
      </c>
      <c r="O78" s="169"/>
      <c r="P78" s="169"/>
      <c r="Q78" s="169"/>
      <c r="R78" s="169"/>
      <c r="S78" s="169"/>
      <c r="T78" s="169"/>
      <c r="U78" s="169"/>
      <c r="V78" s="169"/>
      <c r="W78" s="169"/>
      <c r="X78" s="169"/>
      <c r="Y78" s="169"/>
      <c r="Z78" s="169"/>
      <c r="AA78" s="169"/>
      <c r="AB78" s="169"/>
      <c r="AC78" s="169"/>
      <c r="AD78" s="169"/>
      <c r="AE78" s="169"/>
      <c r="AF78" s="169"/>
      <c r="AG78" s="169"/>
      <c r="AH78" s="169"/>
    </row>
    <row r="79" ht="15.75" customHeight="1">
      <c r="A79" s="169"/>
      <c r="B79" s="38" t="s">
        <v>76</v>
      </c>
      <c r="C79" s="191" t="s">
        <v>3002</v>
      </c>
      <c r="D79" s="40" t="s">
        <v>3003</v>
      </c>
      <c r="E79" s="40"/>
      <c r="F79" s="40"/>
      <c r="G79" s="39"/>
      <c r="H79" s="42" t="s">
        <v>3004</v>
      </c>
      <c r="I79" s="188">
        <v>44555.0</v>
      </c>
      <c r="J79" s="188">
        <v>44620.0</v>
      </c>
      <c r="K79" s="189">
        <v>973.0</v>
      </c>
      <c r="L79" s="19"/>
      <c r="M79" s="192" t="s">
        <v>3005</v>
      </c>
      <c r="N79" s="194" t="s">
        <v>3006</v>
      </c>
      <c r="O79" s="169"/>
      <c r="P79" s="169"/>
      <c r="Q79" s="169"/>
      <c r="R79" s="169"/>
      <c r="S79" s="169"/>
      <c r="T79" s="169"/>
      <c r="U79" s="169"/>
      <c r="V79" s="169"/>
      <c r="W79" s="169"/>
      <c r="X79" s="169"/>
      <c r="Y79" s="169"/>
      <c r="Z79" s="169"/>
      <c r="AA79" s="169"/>
      <c r="AB79" s="169"/>
      <c r="AC79" s="169"/>
      <c r="AD79" s="169"/>
      <c r="AE79" s="169"/>
      <c r="AF79" s="169"/>
      <c r="AG79" s="169"/>
      <c r="AH79" s="169"/>
    </row>
    <row r="80" ht="15.75" customHeight="1">
      <c r="A80" s="169"/>
      <c r="B80" s="38" t="s">
        <v>2992</v>
      </c>
      <c r="C80" s="191" t="s">
        <v>3007</v>
      </c>
      <c r="D80" s="40"/>
      <c r="E80" s="40"/>
      <c r="F80" s="40"/>
      <c r="G80" s="39"/>
      <c r="H80" s="42" t="s">
        <v>3008</v>
      </c>
      <c r="I80" s="188">
        <v>44250.0</v>
      </c>
      <c r="J80" s="188">
        <v>44315.0</v>
      </c>
      <c r="K80" s="189">
        <v>973.0</v>
      </c>
      <c r="L80" s="19"/>
      <c r="M80" s="192" t="s">
        <v>2893</v>
      </c>
      <c r="N80" s="194"/>
      <c r="O80" s="169"/>
      <c r="P80" s="169"/>
      <c r="Q80" s="169"/>
      <c r="R80" s="169"/>
      <c r="S80" s="169"/>
      <c r="T80" s="169"/>
      <c r="U80" s="169"/>
      <c r="V80" s="169"/>
      <c r="W80" s="169"/>
      <c r="X80" s="169"/>
      <c r="Y80" s="169"/>
      <c r="Z80" s="169"/>
      <c r="AA80" s="169"/>
      <c r="AB80" s="169"/>
      <c r="AC80" s="169"/>
      <c r="AD80" s="169"/>
      <c r="AE80" s="169"/>
      <c r="AF80" s="169"/>
      <c r="AG80" s="169"/>
      <c r="AH80" s="169"/>
    </row>
    <row r="81" ht="15.75" customHeight="1">
      <c r="A81" s="169"/>
      <c r="B81" s="38" t="s">
        <v>2992</v>
      </c>
      <c r="C81" s="191" t="s">
        <v>3009</v>
      </c>
      <c r="D81" s="40" t="s">
        <v>3010</v>
      </c>
      <c r="E81" s="40"/>
      <c r="F81" s="196"/>
      <c r="G81" s="40"/>
      <c r="H81" s="42" t="s">
        <v>3011</v>
      </c>
      <c r="I81" s="188">
        <v>44555.0</v>
      </c>
      <c r="J81" s="188">
        <v>44620.0</v>
      </c>
      <c r="K81" s="189">
        <v>756.0</v>
      </c>
      <c r="L81" s="19"/>
      <c r="M81" s="192" t="s">
        <v>3005</v>
      </c>
      <c r="N81" s="119" t="s">
        <v>3012</v>
      </c>
      <c r="O81" s="169"/>
      <c r="P81" s="169"/>
      <c r="Q81" s="169"/>
      <c r="R81" s="169"/>
      <c r="S81" s="169"/>
      <c r="T81" s="169"/>
      <c r="U81" s="169"/>
      <c r="V81" s="169"/>
      <c r="W81" s="169"/>
      <c r="X81" s="169"/>
      <c r="Y81" s="169"/>
      <c r="Z81" s="169"/>
      <c r="AA81" s="169"/>
      <c r="AB81" s="169"/>
      <c r="AC81" s="169"/>
      <c r="AD81" s="169"/>
      <c r="AE81" s="169"/>
      <c r="AF81" s="169"/>
      <c r="AG81" s="169"/>
      <c r="AH81" s="169"/>
    </row>
    <row r="82" ht="15.75" customHeight="1">
      <c r="A82" s="169"/>
      <c r="B82" s="38" t="s">
        <v>76</v>
      </c>
      <c r="C82" s="191" t="s">
        <v>3013</v>
      </c>
      <c r="D82" s="40" t="s">
        <v>3014</v>
      </c>
      <c r="E82" s="40"/>
      <c r="F82" s="40"/>
      <c r="G82" s="39"/>
      <c r="H82" s="42" t="s">
        <v>3015</v>
      </c>
      <c r="I82" s="188">
        <v>44555.0</v>
      </c>
      <c r="J82" s="188">
        <v>44620.0</v>
      </c>
      <c r="K82" s="189">
        <v>1056.0</v>
      </c>
      <c r="L82" s="19"/>
      <c r="M82" s="192" t="s">
        <v>3016</v>
      </c>
      <c r="N82" s="194" t="s">
        <v>3006</v>
      </c>
      <c r="O82" s="169"/>
      <c r="P82" s="169"/>
      <c r="Q82" s="169"/>
      <c r="R82" s="169"/>
      <c r="S82" s="169"/>
      <c r="T82" s="169"/>
      <c r="U82" s="169"/>
      <c r="V82" s="169"/>
      <c r="W82" s="169"/>
      <c r="X82" s="169"/>
      <c r="Y82" s="169"/>
      <c r="Z82" s="169"/>
      <c r="AA82" s="169"/>
      <c r="AB82" s="169"/>
      <c r="AC82" s="169"/>
      <c r="AD82" s="169"/>
      <c r="AE82" s="169"/>
      <c r="AF82" s="169"/>
      <c r="AG82" s="169"/>
      <c r="AH82" s="169"/>
    </row>
    <row r="83" ht="15.75" customHeight="1">
      <c r="A83" s="169"/>
      <c r="B83" s="38" t="s">
        <v>2992</v>
      </c>
      <c r="C83" s="191" t="s">
        <v>3017</v>
      </c>
      <c r="D83" s="40"/>
      <c r="E83" s="40"/>
      <c r="F83" s="40"/>
      <c r="G83" s="39"/>
      <c r="H83" s="42" t="s">
        <v>3018</v>
      </c>
      <c r="I83" s="188">
        <v>44250.0</v>
      </c>
      <c r="J83" s="188">
        <v>44315.0</v>
      </c>
      <c r="K83" s="189">
        <v>1056.0</v>
      </c>
      <c r="L83" s="19"/>
      <c r="M83" s="192" t="s">
        <v>2893</v>
      </c>
      <c r="N83" s="194"/>
      <c r="O83" s="169"/>
      <c r="P83" s="169"/>
      <c r="Q83" s="169"/>
      <c r="R83" s="169"/>
      <c r="S83" s="169"/>
      <c r="T83" s="169"/>
      <c r="U83" s="169"/>
      <c r="V83" s="169"/>
      <c r="W83" s="169"/>
      <c r="X83" s="169"/>
      <c r="Y83" s="169"/>
      <c r="Z83" s="169"/>
      <c r="AA83" s="169"/>
      <c r="AB83" s="169"/>
      <c r="AC83" s="169"/>
      <c r="AD83" s="169"/>
      <c r="AE83" s="169"/>
      <c r="AF83" s="169"/>
      <c r="AG83" s="169"/>
      <c r="AH83" s="169"/>
    </row>
    <row r="84" ht="15.75" customHeight="1">
      <c r="A84" s="169"/>
      <c r="B84" s="38" t="s">
        <v>2992</v>
      </c>
      <c r="C84" s="191" t="s">
        <v>3019</v>
      </c>
      <c r="D84" s="40" t="s">
        <v>3020</v>
      </c>
      <c r="E84" s="40"/>
      <c r="F84" s="196"/>
      <c r="G84" s="40"/>
      <c r="H84" s="42" t="s">
        <v>3021</v>
      </c>
      <c r="I84" s="188">
        <v>44555.0</v>
      </c>
      <c r="J84" s="188">
        <v>44620.0</v>
      </c>
      <c r="K84" s="189">
        <v>791.0</v>
      </c>
      <c r="L84" s="19"/>
      <c r="M84" s="192" t="s">
        <v>3016</v>
      </c>
      <c r="N84" s="119" t="s">
        <v>3012</v>
      </c>
      <c r="O84" s="169"/>
      <c r="P84" s="169"/>
      <c r="Q84" s="169"/>
      <c r="R84" s="169"/>
      <c r="S84" s="169"/>
      <c r="T84" s="169"/>
      <c r="U84" s="169"/>
      <c r="V84" s="169"/>
      <c r="W84" s="169"/>
      <c r="X84" s="169"/>
      <c r="Y84" s="169"/>
      <c r="Z84" s="169"/>
      <c r="AA84" s="169"/>
      <c r="AB84" s="169"/>
      <c r="AC84" s="169"/>
      <c r="AD84" s="169"/>
      <c r="AE84" s="169"/>
      <c r="AF84" s="169"/>
      <c r="AG84" s="169"/>
      <c r="AH84" s="169"/>
    </row>
    <row r="85" ht="15.75" customHeight="1">
      <c r="A85" s="169"/>
      <c r="B85" s="38" t="s">
        <v>76</v>
      </c>
      <c r="C85" s="191" t="s">
        <v>3022</v>
      </c>
      <c r="D85" s="40" t="s">
        <v>3023</v>
      </c>
      <c r="E85" s="40"/>
      <c r="F85" s="40"/>
      <c r="G85" s="39"/>
      <c r="H85" s="42" t="s">
        <v>3024</v>
      </c>
      <c r="I85" s="188">
        <v>44555.0</v>
      </c>
      <c r="J85" s="188">
        <v>44620.0</v>
      </c>
      <c r="K85" s="189">
        <v>1325.0</v>
      </c>
      <c r="L85" s="19"/>
      <c r="M85" s="192" t="s">
        <v>3025</v>
      </c>
      <c r="N85" s="194" t="s">
        <v>3006</v>
      </c>
      <c r="O85" s="169"/>
      <c r="P85" s="169"/>
      <c r="Q85" s="169"/>
      <c r="R85" s="169"/>
      <c r="S85" s="169"/>
      <c r="T85" s="169"/>
      <c r="U85" s="169"/>
      <c r="V85" s="169"/>
      <c r="W85" s="169"/>
      <c r="X85" s="169"/>
      <c r="Y85" s="169"/>
      <c r="Z85" s="169"/>
      <c r="AA85" s="169"/>
      <c r="AB85" s="169"/>
      <c r="AC85" s="169"/>
      <c r="AD85" s="169"/>
      <c r="AE85" s="169"/>
      <c r="AF85" s="169"/>
      <c r="AG85" s="169"/>
      <c r="AH85" s="169"/>
    </row>
    <row r="86" ht="15.75" customHeight="1">
      <c r="A86" s="169"/>
      <c r="B86" s="38" t="s">
        <v>2992</v>
      </c>
      <c r="C86" s="191" t="s">
        <v>3026</v>
      </c>
      <c r="D86" s="40" t="s">
        <v>3027</v>
      </c>
      <c r="E86" s="40"/>
      <c r="F86" s="196"/>
      <c r="G86" s="40"/>
      <c r="H86" s="42" t="s">
        <v>3028</v>
      </c>
      <c r="I86" s="188">
        <v>44555.0</v>
      </c>
      <c r="J86" s="188">
        <v>44620.0</v>
      </c>
      <c r="K86" s="189">
        <v>843.0</v>
      </c>
      <c r="L86" s="19"/>
      <c r="M86" s="192" t="s">
        <v>3025</v>
      </c>
      <c r="N86" s="119" t="s">
        <v>3012</v>
      </c>
      <c r="O86" s="169"/>
      <c r="P86" s="169"/>
      <c r="Q86" s="169"/>
      <c r="R86" s="169"/>
      <c r="S86" s="169"/>
      <c r="T86" s="169"/>
      <c r="U86" s="169"/>
      <c r="V86" s="169"/>
      <c r="W86" s="169"/>
      <c r="X86" s="169"/>
      <c r="Y86" s="169"/>
      <c r="Z86" s="169"/>
      <c r="AA86" s="169"/>
      <c r="AB86" s="169"/>
      <c r="AC86" s="169"/>
      <c r="AD86" s="169"/>
      <c r="AE86" s="169"/>
      <c r="AF86" s="169"/>
      <c r="AG86" s="169"/>
      <c r="AH86" s="169"/>
    </row>
    <row r="87" ht="15.75" customHeight="1">
      <c r="A87" s="169"/>
      <c r="B87" s="38" t="s">
        <v>76</v>
      </c>
      <c r="C87" s="191" t="s">
        <v>3029</v>
      </c>
      <c r="D87" s="40" t="s">
        <v>3030</v>
      </c>
      <c r="E87" s="40"/>
      <c r="F87" s="40"/>
      <c r="G87" s="39"/>
      <c r="H87" s="42" t="s">
        <v>3031</v>
      </c>
      <c r="I87" s="188">
        <v>44555.0</v>
      </c>
      <c r="J87" s="188">
        <v>44620.0</v>
      </c>
      <c r="K87" s="189">
        <v>224.0</v>
      </c>
      <c r="L87" s="19"/>
      <c r="M87" s="192" t="s">
        <v>2893</v>
      </c>
      <c r="N87" s="194" t="s">
        <v>3032</v>
      </c>
      <c r="O87" s="169"/>
      <c r="P87" s="169"/>
      <c r="Q87" s="169"/>
      <c r="R87" s="169"/>
      <c r="S87" s="169"/>
      <c r="T87" s="169"/>
      <c r="U87" s="169"/>
      <c r="V87" s="169"/>
      <c r="W87" s="169"/>
      <c r="X87" s="169"/>
      <c r="Y87" s="169"/>
      <c r="Z87" s="169"/>
      <c r="AA87" s="169"/>
      <c r="AB87" s="169"/>
      <c r="AC87" s="169"/>
      <c r="AD87" s="169"/>
      <c r="AE87" s="169"/>
      <c r="AF87" s="169"/>
      <c r="AG87" s="169"/>
      <c r="AH87" s="169"/>
    </row>
    <row r="88" ht="15.75" customHeight="1">
      <c r="A88" s="169"/>
      <c r="B88" s="38" t="s">
        <v>2992</v>
      </c>
      <c r="C88" s="191" t="s">
        <v>3033</v>
      </c>
      <c r="D88" s="40"/>
      <c r="E88" s="40"/>
      <c r="F88" s="40"/>
      <c r="G88" s="39"/>
      <c r="H88" s="42" t="s">
        <v>3034</v>
      </c>
      <c r="I88" s="188">
        <v>44250.0</v>
      </c>
      <c r="J88" s="188">
        <v>44315.0</v>
      </c>
      <c r="K88" s="189">
        <v>224.0</v>
      </c>
      <c r="L88" s="19"/>
      <c r="M88" s="192" t="s">
        <v>2893</v>
      </c>
      <c r="N88" s="194"/>
      <c r="O88" s="169"/>
      <c r="P88" s="169"/>
      <c r="Q88" s="169"/>
      <c r="R88" s="169"/>
      <c r="S88" s="169"/>
      <c r="T88" s="169"/>
      <c r="U88" s="169"/>
      <c r="V88" s="169"/>
      <c r="W88" s="169"/>
      <c r="X88" s="169"/>
      <c r="Y88" s="169"/>
      <c r="Z88" s="169"/>
      <c r="AA88" s="169"/>
      <c r="AB88" s="169"/>
      <c r="AC88" s="169"/>
      <c r="AD88" s="169"/>
      <c r="AE88" s="169"/>
      <c r="AF88" s="169"/>
      <c r="AG88" s="169"/>
      <c r="AH88" s="169"/>
    </row>
    <row r="89" ht="15.75" customHeight="1">
      <c r="A89" s="169"/>
      <c r="B89" s="38" t="s">
        <v>2992</v>
      </c>
      <c r="C89" s="191" t="s">
        <v>3035</v>
      </c>
      <c r="D89" s="40" t="s">
        <v>3036</v>
      </c>
      <c r="E89" s="40"/>
      <c r="F89" s="40"/>
      <c r="G89" s="39"/>
      <c r="H89" s="42" t="s">
        <v>3037</v>
      </c>
      <c r="I89" s="188">
        <v>44555.0</v>
      </c>
      <c r="J89" s="188">
        <v>44620.0</v>
      </c>
      <c r="K89" s="189">
        <v>240.0</v>
      </c>
      <c r="L89" s="19"/>
      <c r="M89" s="192" t="s">
        <v>2893</v>
      </c>
      <c r="N89" s="194" t="s">
        <v>3038</v>
      </c>
      <c r="O89" s="169"/>
      <c r="P89" s="169"/>
      <c r="Q89" s="169"/>
      <c r="R89" s="169"/>
      <c r="S89" s="169"/>
      <c r="T89" s="169"/>
      <c r="U89" s="169"/>
      <c r="V89" s="169"/>
      <c r="W89" s="169"/>
      <c r="X89" s="169"/>
      <c r="Y89" s="169"/>
      <c r="Z89" s="169"/>
      <c r="AA89" s="169"/>
      <c r="AB89" s="169"/>
      <c r="AC89" s="169"/>
      <c r="AD89" s="169"/>
      <c r="AE89" s="169"/>
      <c r="AF89" s="169"/>
      <c r="AG89" s="169"/>
      <c r="AH89" s="169"/>
    </row>
    <row r="90" ht="15.75" customHeight="1">
      <c r="A90" s="169"/>
      <c r="B90" s="38" t="s">
        <v>76</v>
      </c>
      <c r="C90" s="191" t="s">
        <v>3039</v>
      </c>
      <c r="D90" s="40" t="s">
        <v>3040</v>
      </c>
      <c r="E90" s="40"/>
      <c r="F90" s="40"/>
      <c r="G90" s="39"/>
      <c r="H90" s="42" t="s">
        <v>3041</v>
      </c>
      <c r="I90" s="188">
        <v>44555.0</v>
      </c>
      <c r="J90" s="188">
        <v>44620.0</v>
      </c>
      <c r="K90" s="189">
        <v>318.0</v>
      </c>
      <c r="L90" s="19"/>
      <c r="M90" s="192" t="s">
        <v>3042</v>
      </c>
      <c r="N90" s="194" t="s">
        <v>3006</v>
      </c>
      <c r="O90" s="169"/>
      <c r="P90" s="169"/>
      <c r="Q90" s="169"/>
      <c r="R90" s="169"/>
      <c r="S90" s="169"/>
      <c r="T90" s="169"/>
      <c r="U90" s="169"/>
      <c r="V90" s="169"/>
      <c r="W90" s="169"/>
      <c r="X90" s="169"/>
      <c r="Y90" s="169"/>
      <c r="Z90" s="169"/>
      <c r="AA90" s="169"/>
      <c r="AB90" s="169"/>
      <c r="AC90" s="169"/>
      <c r="AD90" s="169"/>
      <c r="AE90" s="169"/>
      <c r="AF90" s="169"/>
      <c r="AG90" s="169"/>
      <c r="AH90" s="169"/>
    </row>
    <row r="91" ht="15.75" customHeight="1">
      <c r="A91" s="169"/>
      <c r="B91" s="38" t="s">
        <v>2992</v>
      </c>
      <c r="C91" s="191" t="s">
        <v>3043</v>
      </c>
      <c r="D91" s="40"/>
      <c r="E91" s="40"/>
      <c r="F91" s="40"/>
      <c r="G91" s="39"/>
      <c r="H91" s="42" t="s">
        <v>3044</v>
      </c>
      <c r="I91" s="188">
        <v>44250.0</v>
      </c>
      <c r="J91" s="188">
        <v>44315.0</v>
      </c>
      <c r="K91" s="189">
        <v>318.0</v>
      </c>
      <c r="L91" s="19"/>
      <c r="M91" s="190" t="s">
        <v>2893</v>
      </c>
      <c r="N91" s="193"/>
      <c r="O91" s="169"/>
      <c r="P91" s="169"/>
      <c r="Q91" s="169"/>
      <c r="R91" s="169"/>
      <c r="S91" s="169"/>
      <c r="T91" s="169"/>
      <c r="U91" s="169"/>
      <c r="V91" s="169"/>
      <c r="W91" s="169"/>
      <c r="X91" s="169"/>
      <c r="Y91" s="169"/>
      <c r="Z91" s="169"/>
      <c r="AA91" s="169"/>
      <c r="AB91" s="169"/>
      <c r="AC91" s="169"/>
      <c r="AD91" s="169"/>
      <c r="AE91" s="169"/>
      <c r="AF91" s="169"/>
      <c r="AG91" s="169"/>
      <c r="AH91" s="169"/>
    </row>
    <row r="92" ht="15.75" customHeight="1">
      <c r="A92" s="169"/>
      <c r="B92" s="38" t="s">
        <v>2992</v>
      </c>
      <c r="C92" s="191" t="s">
        <v>3045</v>
      </c>
      <c r="D92" s="40" t="s">
        <v>3046</v>
      </c>
      <c r="E92" s="40"/>
      <c r="F92" s="196"/>
      <c r="G92" s="40"/>
      <c r="H92" s="42" t="s">
        <v>3047</v>
      </c>
      <c r="I92" s="188">
        <v>44555.0</v>
      </c>
      <c r="J92" s="188">
        <v>44620.0</v>
      </c>
      <c r="K92" s="189">
        <v>334.0</v>
      </c>
      <c r="L92" s="19"/>
      <c r="M92" s="192" t="s">
        <v>2893</v>
      </c>
      <c r="N92" s="42" t="s">
        <v>3048</v>
      </c>
      <c r="O92" s="169"/>
      <c r="P92" s="169"/>
      <c r="Q92" s="169"/>
      <c r="R92" s="169"/>
      <c r="S92" s="169"/>
      <c r="T92" s="169"/>
      <c r="U92" s="169"/>
      <c r="V92" s="169"/>
      <c r="W92" s="169"/>
      <c r="X92" s="169"/>
      <c r="Y92" s="169"/>
      <c r="Z92" s="169"/>
      <c r="AA92" s="169"/>
      <c r="AB92" s="169"/>
      <c r="AC92" s="169"/>
      <c r="AD92" s="169"/>
      <c r="AE92" s="169"/>
      <c r="AF92" s="169"/>
      <c r="AG92" s="169"/>
      <c r="AH92" s="169"/>
    </row>
    <row r="93" ht="15.75" customHeight="1">
      <c r="A93" s="169"/>
      <c r="B93" s="38" t="s">
        <v>76</v>
      </c>
      <c r="C93" s="191" t="s">
        <v>3049</v>
      </c>
      <c r="D93" s="40" t="s">
        <v>3050</v>
      </c>
      <c r="E93" s="40"/>
      <c r="F93" s="40"/>
      <c r="G93" s="39"/>
      <c r="H93" s="42" t="s">
        <v>3051</v>
      </c>
      <c r="I93" s="188">
        <v>44327.0</v>
      </c>
      <c r="J93" s="188">
        <v>44392.0</v>
      </c>
      <c r="K93" s="189">
        <v>138.0</v>
      </c>
      <c r="L93" s="19"/>
      <c r="M93" s="192" t="s">
        <v>3052</v>
      </c>
      <c r="N93" s="42" t="s">
        <v>3053</v>
      </c>
      <c r="O93" s="169"/>
      <c r="P93" s="169"/>
      <c r="Q93" s="169"/>
      <c r="R93" s="169"/>
      <c r="S93" s="169"/>
      <c r="T93" s="169"/>
      <c r="U93" s="169"/>
      <c r="V93" s="169"/>
      <c r="W93" s="169"/>
      <c r="X93" s="169"/>
      <c r="Y93" s="169"/>
      <c r="Z93" s="169"/>
      <c r="AA93" s="169"/>
      <c r="AB93" s="169"/>
      <c r="AC93" s="169"/>
      <c r="AD93" s="169"/>
      <c r="AE93" s="169"/>
      <c r="AF93" s="169"/>
      <c r="AG93" s="169"/>
      <c r="AH93" s="169"/>
    </row>
    <row r="94" ht="15.75" customHeight="1">
      <c r="A94" s="169"/>
      <c r="B94" s="38" t="s">
        <v>76</v>
      </c>
      <c r="C94" s="191" t="s">
        <v>3054</v>
      </c>
      <c r="D94" s="40" t="s">
        <v>3055</v>
      </c>
      <c r="E94" s="40"/>
      <c r="F94" s="196"/>
      <c r="G94" s="40"/>
      <c r="H94" s="42" t="s">
        <v>3056</v>
      </c>
      <c r="I94" s="188">
        <v>44327.0</v>
      </c>
      <c r="J94" s="188">
        <v>44392.0</v>
      </c>
      <c r="K94" s="189">
        <v>169.0</v>
      </c>
      <c r="L94" s="19"/>
      <c r="M94" s="192" t="s">
        <v>3057</v>
      </c>
      <c r="N94" s="42" t="s">
        <v>3058</v>
      </c>
      <c r="O94" s="169"/>
      <c r="P94" s="169"/>
      <c r="Q94" s="169"/>
      <c r="R94" s="169"/>
      <c r="S94" s="169"/>
      <c r="T94" s="169"/>
      <c r="U94" s="169"/>
      <c r="V94" s="169"/>
      <c r="W94" s="169"/>
      <c r="X94" s="169"/>
      <c r="Y94" s="169"/>
      <c r="Z94" s="169"/>
      <c r="AA94" s="169"/>
      <c r="AB94" s="169"/>
      <c r="AC94" s="169"/>
      <c r="AD94" s="169"/>
      <c r="AE94" s="169"/>
      <c r="AF94" s="169"/>
      <c r="AG94" s="169"/>
      <c r="AH94" s="169"/>
    </row>
    <row r="95" ht="15.75" customHeight="1">
      <c r="A95" s="169"/>
      <c r="B95" s="38" t="s">
        <v>76</v>
      </c>
      <c r="C95" s="191" t="s">
        <v>3059</v>
      </c>
      <c r="D95" s="40" t="s">
        <v>3060</v>
      </c>
      <c r="E95" s="40"/>
      <c r="F95" s="40"/>
      <c r="G95" s="39"/>
      <c r="H95" s="42" t="s">
        <v>3061</v>
      </c>
      <c r="I95" s="188">
        <v>44327.0</v>
      </c>
      <c r="J95" s="188">
        <v>44392.0</v>
      </c>
      <c r="K95" s="189">
        <v>168.0</v>
      </c>
      <c r="L95" s="19"/>
      <c r="M95" s="192" t="s">
        <v>3062</v>
      </c>
      <c r="N95" s="42" t="s">
        <v>3063</v>
      </c>
      <c r="O95" s="169"/>
      <c r="P95" s="169"/>
      <c r="Q95" s="169"/>
      <c r="R95" s="169"/>
      <c r="S95" s="169"/>
      <c r="T95" s="169"/>
      <c r="U95" s="169"/>
      <c r="V95" s="169"/>
      <c r="W95" s="169"/>
      <c r="X95" s="169"/>
      <c r="Y95" s="169"/>
      <c r="Z95" s="169"/>
      <c r="AA95" s="169"/>
      <c r="AB95" s="169"/>
      <c r="AC95" s="169"/>
      <c r="AD95" s="169"/>
      <c r="AE95" s="169"/>
      <c r="AF95" s="169"/>
      <c r="AG95" s="169"/>
      <c r="AH95" s="169"/>
    </row>
    <row r="96" ht="15.75" customHeight="1">
      <c r="A96" s="169"/>
      <c r="B96" s="38" t="s">
        <v>76</v>
      </c>
      <c r="C96" s="191" t="s">
        <v>3064</v>
      </c>
      <c r="D96" s="40" t="s">
        <v>3065</v>
      </c>
      <c r="E96" s="40"/>
      <c r="F96" s="196"/>
      <c r="G96" s="40"/>
      <c r="H96" s="42" t="s">
        <v>3066</v>
      </c>
      <c r="I96" s="188">
        <v>44327.0</v>
      </c>
      <c r="J96" s="188">
        <v>44392.0</v>
      </c>
      <c r="K96" s="189">
        <v>199.0</v>
      </c>
      <c r="L96" s="19"/>
      <c r="M96" s="190" t="s">
        <v>3067</v>
      </c>
      <c r="N96" s="42" t="s">
        <v>3068</v>
      </c>
      <c r="O96" s="169"/>
      <c r="P96" s="169"/>
      <c r="Q96" s="169"/>
      <c r="R96" s="169"/>
      <c r="S96" s="169"/>
      <c r="T96" s="169"/>
      <c r="U96" s="169"/>
      <c r="V96" s="169"/>
      <c r="W96" s="169"/>
      <c r="X96" s="169"/>
      <c r="Y96" s="169"/>
      <c r="Z96" s="169"/>
      <c r="AA96" s="169"/>
      <c r="AB96" s="169"/>
      <c r="AC96" s="169"/>
      <c r="AD96" s="169"/>
      <c r="AE96" s="169"/>
      <c r="AF96" s="169"/>
      <c r="AG96" s="169"/>
      <c r="AH96" s="169"/>
    </row>
    <row r="97" ht="15.75" customHeight="1">
      <c r="A97" s="169"/>
      <c r="B97" s="38" t="s">
        <v>2992</v>
      </c>
      <c r="C97" s="191" t="s">
        <v>3069</v>
      </c>
      <c r="D97" s="40"/>
      <c r="E97" s="40"/>
      <c r="F97" s="40"/>
      <c r="G97" s="39"/>
      <c r="H97" s="42" t="s">
        <v>3070</v>
      </c>
      <c r="I97" s="188">
        <v>44250.0</v>
      </c>
      <c r="J97" s="188">
        <v>44315.0</v>
      </c>
      <c r="K97" s="189">
        <v>436.0</v>
      </c>
      <c r="L97" s="19"/>
      <c r="M97" s="190" t="s">
        <v>2893</v>
      </c>
      <c r="N97" s="193"/>
      <c r="O97" s="169"/>
      <c r="P97" s="169"/>
      <c r="Q97" s="169"/>
      <c r="R97" s="169"/>
      <c r="S97" s="169"/>
      <c r="T97" s="169"/>
      <c r="U97" s="169"/>
      <c r="V97" s="169"/>
      <c r="W97" s="169"/>
      <c r="X97" s="169"/>
      <c r="Y97" s="169"/>
      <c r="Z97" s="169"/>
      <c r="AA97" s="169"/>
      <c r="AB97" s="169"/>
      <c r="AC97" s="169"/>
      <c r="AD97" s="169"/>
      <c r="AE97" s="169"/>
      <c r="AF97" s="169"/>
      <c r="AG97" s="169"/>
      <c r="AH97" s="169"/>
    </row>
    <row r="98" ht="15.75" customHeight="1">
      <c r="A98" s="169"/>
      <c r="B98" s="38" t="s">
        <v>76</v>
      </c>
      <c r="C98" s="191" t="s">
        <v>3071</v>
      </c>
      <c r="D98" s="40" t="s">
        <v>3072</v>
      </c>
      <c r="E98" s="40"/>
      <c r="F98" s="40"/>
      <c r="G98" s="39"/>
      <c r="H98" s="42" t="s">
        <v>3073</v>
      </c>
      <c r="I98" s="188">
        <v>44327.0</v>
      </c>
      <c r="J98" s="188">
        <v>44392.0</v>
      </c>
      <c r="K98" s="189">
        <v>208.0</v>
      </c>
      <c r="L98" s="19"/>
      <c r="M98" s="192" t="s">
        <v>3074</v>
      </c>
      <c r="N98" s="119" t="s">
        <v>3075</v>
      </c>
      <c r="O98" s="169"/>
      <c r="P98" s="169"/>
      <c r="Q98" s="169"/>
      <c r="R98" s="169"/>
      <c r="S98" s="169"/>
      <c r="T98" s="169"/>
      <c r="U98" s="169"/>
      <c r="V98" s="169"/>
      <c r="W98" s="169"/>
      <c r="X98" s="169"/>
      <c r="Y98" s="169"/>
      <c r="Z98" s="169"/>
      <c r="AA98" s="169"/>
      <c r="AB98" s="169"/>
      <c r="AC98" s="169"/>
      <c r="AD98" s="169"/>
      <c r="AE98" s="169"/>
      <c r="AF98" s="169"/>
      <c r="AG98" s="169"/>
      <c r="AH98" s="169"/>
    </row>
    <row r="99" ht="15.75" customHeight="1">
      <c r="A99" s="169"/>
      <c r="B99" s="38" t="s">
        <v>76</v>
      </c>
      <c r="C99" s="191" t="s">
        <v>3076</v>
      </c>
      <c r="D99" s="40" t="s">
        <v>3077</v>
      </c>
      <c r="E99" s="40"/>
      <c r="F99" s="196"/>
      <c r="G99" s="40"/>
      <c r="H99" s="42" t="s">
        <v>3078</v>
      </c>
      <c r="I99" s="188">
        <v>44327.0</v>
      </c>
      <c r="J99" s="188">
        <v>44392.0</v>
      </c>
      <c r="K99" s="189">
        <v>239.0</v>
      </c>
      <c r="L99" s="19"/>
      <c r="M99" s="192" t="s">
        <v>3079</v>
      </c>
      <c r="N99" s="119" t="s">
        <v>3080</v>
      </c>
      <c r="O99" s="169"/>
      <c r="P99" s="169"/>
      <c r="Q99" s="169"/>
      <c r="R99" s="169"/>
      <c r="S99" s="169"/>
      <c r="T99" s="169"/>
      <c r="U99" s="169"/>
      <c r="V99" s="169"/>
      <c r="W99" s="169"/>
      <c r="X99" s="169"/>
      <c r="Y99" s="169"/>
      <c r="Z99" s="169"/>
      <c r="AA99" s="169"/>
      <c r="AB99" s="169"/>
      <c r="AC99" s="169"/>
      <c r="AD99" s="169"/>
      <c r="AE99" s="169"/>
      <c r="AF99" s="169"/>
      <c r="AG99" s="169"/>
      <c r="AH99" s="169"/>
    </row>
    <row r="100" ht="15.75" customHeight="1">
      <c r="A100" s="169"/>
      <c r="B100" s="38" t="s">
        <v>2992</v>
      </c>
      <c r="C100" s="191" t="s">
        <v>3081</v>
      </c>
      <c r="D100" s="40"/>
      <c r="E100" s="40"/>
      <c r="F100" s="40"/>
      <c r="G100" s="39"/>
      <c r="H100" s="42" t="s">
        <v>3082</v>
      </c>
      <c r="I100" s="188">
        <v>44250.0</v>
      </c>
      <c r="J100" s="188">
        <v>44315.0</v>
      </c>
      <c r="K100" s="189">
        <v>558.0</v>
      </c>
      <c r="L100" s="19"/>
      <c r="M100" s="192" t="s">
        <v>2893</v>
      </c>
      <c r="N100" s="194"/>
      <c r="O100" s="169"/>
      <c r="P100" s="169"/>
      <c r="Q100" s="169"/>
      <c r="R100" s="169"/>
      <c r="S100" s="169"/>
      <c r="T100" s="169"/>
      <c r="U100" s="169"/>
      <c r="V100" s="169"/>
      <c r="W100" s="169"/>
      <c r="X100" s="169"/>
      <c r="Y100" s="169"/>
      <c r="Z100" s="169"/>
      <c r="AA100" s="169"/>
      <c r="AB100" s="169"/>
      <c r="AC100" s="169"/>
      <c r="AD100" s="169"/>
      <c r="AE100" s="169"/>
      <c r="AF100" s="169"/>
      <c r="AG100" s="169"/>
      <c r="AH100" s="169"/>
    </row>
    <row r="101" ht="15.75" customHeight="1">
      <c r="A101" s="169"/>
      <c r="B101" s="38" t="s">
        <v>2992</v>
      </c>
      <c r="C101" s="191" t="s">
        <v>3083</v>
      </c>
      <c r="D101" s="40" t="s">
        <v>3084</v>
      </c>
      <c r="E101" s="40"/>
      <c r="F101" s="40"/>
      <c r="G101" s="39"/>
      <c r="H101" s="42" t="s">
        <v>3085</v>
      </c>
      <c r="I101" s="188">
        <v>44555.0</v>
      </c>
      <c r="J101" s="188">
        <v>44620.0</v>
      </c>
      <c r="K101" s="189">
        <v>506.0</v>
      </c>
      <c r="L101" s="19"/>
      <c r="M101" s="192" t="s">
        <v>3086</v>
      </c>
      <c r="N101" s="119" t="s">
        <v>3087</v>
      </c>
      <c r="O101" s="169"/>
      <c r="P101" s="169"/>
      <c r="Q101" s="169"/>
      <c r="R101" s="169"/>
      <c r="S101" s="169"/>
      <c r="T101" s="169"/>
      <c r="U101" s="169"/>
      <c r="V101" s="169"/>
      <c r="W101" s="169"/>
      <c r="X101" s="169"/>
      <c r="Y101" s="169"/>
      <c r="Z101" s="169"/>
      <c r="AA101" s="169"/>
      <c r="AB101" s="169"/>
      <c r="AC101" s="169"/>
      <c r="AD101" s="169"/>
      <c r="AE101" s="169"/>
      <c r="AF101" s="169"/>
      <c r="AG101" s="169"/>
      <c r="AH101" s="169"/>
    </row>
    <row r="102" ht="15.75" customHeight="1">
      <c r="A102" s="169"/>
      <c r="B102" s="38" t="s">
        <v>2992</v>
      </c>
      <c r="C102" s="191" t="s">
        <v>3088</v>
      </c>
      <c r="D102" s="40"/>
      <c r="E102" s="40"/>
      <c r="F102" s="40"/>
      <c r="G102" s="39"/>
      <c r="H102" s="42" t="s">
        <v>3089</v>
      </c>
      <c r="I102" s="188">
        <v>44250.0</v>
      </c>
      <c r="J102" s="188">
        <v>44315.0</v>
      </c>
      <c r="K102" s="189">
        <v>673.0</v>
      </c>
      <c r="L102" s="19"/>
      <c r="M102" s="192" t="s">
        <v>2893</v>
      </c>
      <c r="N102" s="194"/>
      <c r="O102" s="169"/>
      <c r="P102" s="169"/>
      <c r="Q102" s="169"/>
      <c r="R102" s="169"/>
      <c r="S102" s="169"/>
      <c r="T102" s="169"/>
      <c r="U102" s="169"/>
      <c r="V102" s="169"/>
      <c r="W102" s="169"/>
      <c r="X102" s="169"/>
      <c r="Y102" s="169"/>
      <c r="Z102" s="169"/>
      <c r="AA102" s="169"/>
      <c r="AB102" s="169"/>
      <c r="AC102" s="169"/>
      <c r="AD102" s="169"/>
      <c r="AE102" s="169"/>
      <c r="AF102" s="169"/>
      <c r="AG102" s="169"/>
      <c r="AH102" s="169"/>
    </row>
    <row r="103" ht="15.75" customHeight="1">
      <c r="A103" s="169"/>
      <c r="B103" s="38" t="s">
        <v>2992</v>
      </c>
      <c r="C103" s="191" t="s">
        <v>3090</v>
      </c>
      <c r="D103" s="40" t="s">
        <v>3091</v>
      </c>
      <c r="E103" s="40"/>
      <c r="F103" s="40"/>
      <c r="G103" s="39"/>
      <c r="H103" s="42" t="s">
        <v>3092</v>
      </c>
      <c r="I103" s="188">
        <v>44555.0</v>
      </c>
      <c r="J103" s="188">
        <v>44620.0</v>
      </c>
      <c r="K103" s="189">
        <v>508.0</v>
      </c>
      <c r="L103" s="19"/>
      <c r="M103" s="192" t="s">
        <v>3093</v>
      </c>
      <c r="N103" s="119" t="s">
        <v>3087</v>
      </c>
      <c r="O103" s="169"/>
      <c r="P103" s="169"/>
      <c r="Q103" s="169"/>
      <c r="R103" s="169"/>
      <c r="S103" s="169"/>
      <c r="T103" s="169"/>
      <c r="U103" s="169"/>
      <c r="V103" s="169"/>
      <c r="W103" s="169"/>
      <c r="X103" s="169"/>
      <c r="Y103" s="169"/>
      <c r="Z103" s="169"/>
      <c r="AA103" s="169"/>
      <c r="AB103" s="169"/>
      <c r="AC103" s="169"/>
      <c r="AD103" s="169"/>
      <c r="AE103" s="169"/>
      <c r="AF103" s="169"/>
      <c r="AG103" s="169"/>
      <c r="AH103" s="169"/>
    </row>
    <row r="104" ht="15.75" customHeight="1">
      <c r="A104" s="169"/>
      <c r="B104" s="38" t="s">
        <v>3094</v>
      </c>
      <c r="C104" s="191" t="s">
        <v>3095</v>
      </c>
      <c r="D104" s="40" t="s">
        <v>3096</v>
      </c>
      <c r="E104" s="40"/>
      <c r="F104" s="40" t="s">
        <v>1051</v>
      </c>
      <c r="G104" s="39" t="s">
        <v>1259</v>
      </c>
      <c r="H104" s="42" t="s">
        <v>3097</v>
      </c>
      <c r="I104" s="188">
        <v>44160.0</v>
      </c>
      <c r="J104" s="188">
        <v>44225.0</v>
      </c>
      <c r="K104" s="189">
        <v>616.0</v>
      </c>
      <c r="L104" s="19"/>
      <c r="M104" s="192" t="s">
        <v>3098</v>
      </c>
      <c r="N104" s="119" t="s">
        <v>3099</v>
      </c>
      <c r="O104" s="169"/>
      <c r="P104" s="169"/>
      <c r="Q104" s="169"/>
      <c r="R104" s="169"/>
      <c r="S104" s="169"/>
      <c r="T104" s="169"/>
      <c r="U104" s="169"/>
      <c r="V104" s="169"/>
      <c r="W104" s="169"/>
      <c r="X104" s="169"/>
      <c r="Y104" s="169"/>
      <c r="Z104" s="169"/>
      <c r="AA104" s="169"/>
      <c r="AB104" s="169"/>
      <c r="AC104" s="169"/>
      <c r="AD104" s="169"/>
      <c r="AE104" s="169"/>
      <c r="AF104" s="169"/>
      <c r="AG104" s="169"/>
      <c r="AH104" s="169"/>
    </row>
    <row r="105" ht="15.75" customHeight="1">
      <c r="A105" s="169"/>
      <c r="B105" s="38" t="s">
        <v>3094</v>
      </c>
      <c r="C105" s="191" t="s">
        <v>3100</v>
      </c>
      <c r="D105" s="40" t="s">
        <v>3096</v>
      </c>
      <c r="E105" s="40"/>
      <c r="F105" s="40" t="s">
        <v>1051</v>
      </c>
      <c r="G105" s="39" t="s">
        <v>1259</v>
      </c>
      <c r="H105" s="42" t="s">
        <v>3101</v>
      </c>
      <c r="I105" s="188">
        <v>44160.0</v>
      </c>
      <c r="J105" s="188">
        <v>44225.0</v>
      </c>
      <c r="K105" s="189">
        <v>750.0</v>
      </c>
      <c r="L105" s="19"/>
      <c r="M105" s="192" t="s">
        <v>3102</v>
      </c>
      <c r="N105" s="119" t="s">
        <v>3099</v>
      </c>
      <c r="O105" s="169"/>
      <c r="P105" s="169"/>
      <c r="Q105" s="169"/>
      <c r="R105" s="169"/>
      <c r="S105" s="169"/>
      <c r="T105" s="169"/>
      <c r="U105" s="169"/>
      <c r="V105" s="169"/>
      <c r="W105" s="169"/>
      <c r="X105" s="169"/>
      <c r="Y105" s="169"/>
      <c r="Z105" s="169"/>
      <c r="AA105" s="169"/>
      <c r="AB105" s="169"/>
      <c r="AC105" s="169"/>
      <c r="AD105" s="169"/>
      <c r="AE105" s="169"/>
      <c r="AF105" s="169"/>
      <c r="AG105" s="169"/>
      <c r="AH105" s="169"/>
    </row>
    <row r="106" ht="15.75" customHeight="1">
      <c r="A106" s="169"/>
      <c r="B106" s="38" t="s">
        <v>3094</v>
      </c>
      <c r="C106" s="191" t="s">
        <v>3103</v>
      </c>
      <c r="D106" s="40" t="s">
        <v>3096</v>
      </c>
      <c r="E106" s="40"/>
      <c r="F106" s="40" t="s">
        <v>1051</v>
      </c>
      <c r="G106" s="39" t="s">
        <v>1259</v>
      </c>
      <c r="H106" s="42" t="s">
        <v>3104</v>
      </c>
      <c r="I106" s="188">
        <v>44160.0</v>
      </c>
      <c r="J106" s="188">
        <v>44225.0</v>
      </c>
      <c r="K106" s="189">
        <v>1114.0</v>
      </c>
      <c r="L106" s="19"/>
      <c r="M106" s="192" t="s">
        <v>3105</v>
      </c>
      <c r="N106" s="119" t="s">
        <v>3106</v>
      </c>
      <c r="O106" s="169"/>
      <c r="P106" s="169"/>
      <c r="Q106" s="169"/>
      <c r="R106" s="169"/>
      <c r="S106" s="169"/>
      <c r="T106" s="169"/>
      <c r="U106" s="169"/>
      <c r="V106" s="169"/>
      <c r="W106" s="169"/>
      <c r="X106" s="169"/>
      <c r="Y106" s="169"/>
      <c r="Z106" s="169"/>
      <c r="AA106" s="169"/>
      <c r="AB106" s="169"/>
      <c r="AC106" s="169"/>
      <c r="AD106" s="169"/>
      <c r="AE106" s="169"/>
      <c r="AF106" s="169"/>
      <c r="AG106" s="169"/>
      <c r="AH106" s="169"/>
    </row>
    <row r="107" ht="15.75" customHeight="1">
      <c r="A107" s="169"/>
      <c r="B107" s="38" t="s">
        <v>3094</v>
      </c>
      <c r="C107" s="191" t="s">
        <v>3107</v>
      </c>
      <c r="D107" s="40" t="s">
        <v>3096</v>
      </c>
      <c r="E107" s="40"/>
      <c r="F107" s="40" t="s">
        <v>1051</v>
      </c>
      <c r="G107" s="39" t="s">
        <v>1259</v>
      </c>
      <c r="H107" s="42" t="s">
        <v>3108</v>
      </c>
      <c r="I107" s="188">
        <v>44160.0</v>
      </c>
      <c r="J107" s="188">
        <v>44225.0</v>
      </c>
      <c r="K107" s="189">
        <v>1262.0</v>
      </c>
      <c r="L107" s="19"/>
      <c r="M107" s="192" t="s">
        <v>3109</v>
      </c>
      <c r="N107" s="119" t="s">
        <v>3110</v>
      </c>
      <c r="O107" s="169"/>
      <c r="P107" s="169"/>
      <c r="Q107" s="169"/>
      <c r="R107" s="169"/>
      <c r="S107" s="169"/>
      <c r="T107" s="169"/>
      <c r="U107" s="169"/>
      <c r="V107" s="169"/>
      <c r="W107" s="169"/>
      <c r="X107" s="169"/>
      <c r="Y107" s="169"/>
      <c r="Z107" s="169"/>
      <c r="AA107" s="169"/>
      <c r="AB107" s="169"/>
      <c r="AC107" s="169"/>
      <c r="AD107" s="169"/>
      <c r="AE107" s="169"/>
      <c r="AF107" s="169"/>
      <c r="AG107" s="169"/>
      <c r="AH107" s="169"/>
    </row>
    <row r="108" ht="15.75" customHeight="1">
      <c r="A108" s="169"/>
      <c r="B108" s="38" t="s">
        <v>3094</v>
      </c>
      <c r="C108" s="191" t="s">
        <v>3111</v>
      </c>
      <c r="D108" s="40" t="s">
        <v>3096</v>
      </c>
      <c r="E108" s="40"/>
      <c r="F108" s="40" t="s">
        <v>1051</v>
      </c>
      <c r="G108" s="39" t="s">
        <v>1259</v>
      </c>
      <c r="H108" s="42" t="s">
        <v>3112</v>
      </c>
      <c r="I108" s="188">
        <v>44160.0</v>
      </c>
      <c r="J108" s="188">
        <v>44225.0</v>
      </c>
      <c r="K108" s="189">
        <v>1312.0</v>
      </c>
      <c r="L108" s="19"/>
      <c r="M108" s="192" t="s">
        <v>3113</v>
      </c>
      <c r="N108" s="119" t="s">
        <v>3114</v>
      </c>
      <c r="O108" s="169"/>
      <c r="P108" s="169"/>
      <c r="Q108" s="169"/>
      <c r="R108" s="169"/>
      <c r="S108" s="169"/>
      <c r="T108" s="169"/>
      <c r="U108" s="169"/>
      <c r="V108" s="169"/>
      <c r="W108" s="169"/>
      <c r="X108" s="169"/>
      <c r="Y108" s="169"/>
      <c r="Z108" s="169"/>
      <c r="AA108" s="169"/>
      <c r="AB108" s="169"/>
      <c r="AC108" s="169"/>
      <c r="AD108" s="169"/>
      <c r="AE108" s="169"/>
      <c r="AF108" s="169"/>
      <c r="AG108" s="169"/>
      <c r="AH108" s="169"/>
    </row>
    <row r="109" ht="15.75" customHeight="1">
      <c r="A109" s="169"/>
      <c r="B109" s="38" t="s">
        <v>3094</v>
      </c>
      <c r="C109" s="191" t="s">
        <v>3115</v>
      </c>
      <c r="D109" s="40" t="s">
        <v>3116</v>
      </c>
      <c r="E109" s="40"/>
      <c r="F109" s="40" t="s">
        <v>1034</v>
      </c>
      <c r="G109" s="39" t="s">
        <v>1259</v>
      </c>
      <c r="H109" s="42" t="s">
        <v>3117</v>
      </c>
      <c r="I109" s="188">
        <v>44160.0</v>
      </c>
      <c r="J109" s="188">
        <v>44225.0</v>
      </c>
      <c r="K109" s="189">
        <v>264.0</v>
      </c>
      <c r="L109" s="19"/>
      <c r="M109" s="192" t="s">
        <v>1295</v>
      </c>
      <c r="N109" s="119" t="s">
        <v>3118</v>
      </c>
      <c r="O109" s="169"/>
      <c r="P109" s="169"/>
      <c r="Q109" s="169"/>
      <c r="R109" s="169"/>
      <c r="S109" s="169"/>
      <c r="T109" s="169"/>
      <c r="U109" s="169"/>
      <c r="V109" s="169"/>
      <c r="W109" s="169"/>
      <c r="X109" s="169"/>
      <c r="Y109" s="169"/>
      <c r="Z109" s="169"/>
      <c r="AA109" s="169"/>
      <c r="AB109" s="169"/>
      <c r="AC109" s="169"/>
      <c r="AD109" s="169"/>
      <c r="AE109" s="169"/>
      <c r="AF109" s="169"/>
      <c r="AG109" s="169"/>
      <c r="AH109" s="169"/>
    </row>
    <row r="110" ht="15.75" customHeight="1">
      <c r="A110" s="169"/>
      <c r="B110" s="38" t="s">
        <v>3094</v>
      </c>
      <c r="C110" s="191" t="s">
        <v>3119</v>
      </c>
      <c r="D110" s="40" t="s">
        <v>3116</v>
      </c>
      <c r="E110" s="40"/>
      <c r="F110" s="40" t="s">
        <v>1034</v>
      </c>
      <c r="G110" s="39" t="s">
        <v>1259</v>
      </c>
      <c r="H110" s="42" t="s">
        <v>3120</v>
      </c>
      <c r="I110" s="188">
        <v>44160.0</v>
      </c>
      <c r="J110" s="188">
        <v>44225.0</v>
      </c>
      <c r="K110" s="189">
        <v>398.0</v>
      </c>
      <c r="L110" s="19"/>
      <c r="M110" s="192" t="s">
        <v>3121</v>
      </c>
      <c r="N110" s="119" t="s">
        <v>3122</v>
      </c>
      <c r="O110" s="169"/>
      <c r="P110" s="169"/>
      <c r="Q110" s="169"/>
      <c r="R110" s="169"/>
      <c r="S110" s="169"/>
      <c r="T110" s="169"/>
      <c r="U110" s="169"/>
      <c r="V110" s="169"/>
      <c r="W110" s="169"/>
      <c r="X110" s="169"/>
      <c r="Y110" s="169"/>
      <c r="Z110" s="169"/>
      <c r="AA110" s="169"/>
      <c r="AB110" s="169"/>
      <c r="AC110" s="169"/>
      <c r="AD110" s="169"/>
      <c r="AE110" s="169"/>
      <c r="AF110" s="169"/>
      <c r="AG110" s="169"/>
      <c r="AH110" s="169"/>
    </row>
    <row r="111" ht="15.75" customHeight="1">
      <c r="A111" s="169"/>
      <c r="B111" s="38" t="s">
        <v>3094</v>
      </c>
      <c r="C111" s="191" t="s">
        <v>3123</v>
      </c>
      <c r="D111" s="40" t="s">
        <v>3116</v>
      </c>
      <c r="E111" s="40"/>
      <c r="F111" s="40" t="s">
        <v>1034</v>
      </c>
      <c r="G111" s="39" t="s">
        <v>1259</v>
      </c>
      <c r="H111" s="42" t="s">
        <v>3124</v>
      </c>
      <c r="I111" s="188">
        <v>44160.0</v>
      </c>
      <c r="J111" s="188">
        <v>44225.0</v>
      </c>
      <c r="K111" s="189">
        <v>590.0</v>
      </c>
      <c r="L111" s="19"/>
      <c r="M111" s="192" t="s">
        <v>1298</v>
      </c>
      <c r="N111" s="119" t="s">
        <v>1300</v>
      </c>
      <c r="O111" s="169"/>
      <c r="P111" s="169"/>
      <c r="Q111" s="169"/>
      <c r="R111" s="169"/>
      <c r="S111" s="169"/>
      <c r="T111" s="169"/>
      <c r="U111" s="169"/>
      <c r="V111" s="169"/>
      <c r="W111" s="169"/>
      <c r="X111" s="169"/>
      <c r="Y111" s="169"/>
      <c r="Z111" s="169"/>
      <c r="AA111" s="169"/>
      <c r="AB111" s="169"/>
      <c r="AC111" s="169"/>
      <c r="AD111" s="169"/>
      <c r="AE111" s="169"/>
      <c r="AF111" s="169"/>
      <c r="AG111" s="169"/>
      <c r="AH111" s="169"/>
    </row>
    <row r="112" ht="15.75" customHeight="1">
      <c r="A112" s="169"/>
      <c r="B112" s="38" t="s">
        <v>3094</v>
      </c>
      <c r="C112" s="191" t="s">
        <v>3125</v>
      </c>
      <c r="D112" s="40" t="s">
        <v>3116</v>
      </c>
      <c r="E112" s="40"/>
      <c r="F112" s="40" t="s">
        <v>1034</v>
      </c>
      <c r="G112" s="39" t="s">
        <v>1259</v>
      </c>
      <c r="H112" s="42" t="s">
        <v>3126</v>
      </c>
      <c r="I112" s="188">
        <v>44461.0</v>
      </c>
      <c r="J112" s="188">
        <v>44526.0</v>
      </c>
      <c r="K112" s="189">
        <v>390.0</v>
      </c>
      <c r="L112" s="19"/>
      <c r="M112" s="192" t="s">
        <v>3127</v>
      </c>
      <c r="N112" s="42" t="s">
        <v>3128</v>
      </c>
      <c r="O112" s="169"/>
      <c r="P112" s="169"/>
      <c r="Q112" s="169"/>
      <c r="R112" s="169"/>
      <c r="S112" s="169"/>
      <c r="T112" s="169"/>
      <c r="U112" s="169"/>
      <c r="V112" s="169"/>
      <c r="W112" s="169"/>
      <c r="X112" s="169"/>
      <c r="Y112" s="169"/>
      <c r="Z112" s="169"/>
      <c r="AA112" s="169"/>
      <c r="AB112" s="169"/>
      <c r="AC112" s="169"/>
      <c r="AD112" s="169"/>
      <c r="AE112" s="169"/>
      <c r="AF112" s="169"/>
      <c r="AG112" s="169"/>
      <c r="AH112" s="169"/>
    </row>
    <row r="113" ht="15.75" customHeight="1">
      <c r="A113" s="169"/>
      <c r="B113" s="38" t="s">
        <v>3094</v>
      </c>
      <c r="C113" s="191" t="s">
        <v>3129</v>
      </c>
      <c r="D113" s="40" t="s">
        <v>3116</v>
      </c>
      <c r="E113" s="40"/>
      <c r="F113" s="40" t="s">
        <v>1034</v>
      </c>
      <c r="G113" s="39" t="s">
        <v>1259</v>
      </c>
      <c r="H113" s="42" t="s">
        <v>3130</v>
      </c>
      <c r="I113" s="188">
        <v>44461.0</v>
      </c>
      <c r="J113" s="188">
        <v>44526.0</v>
      </c>
      <c r="K113" s="189">
        <v>538.0</v>
      </c>
      <c r="L113" s="19"/>
      <c r="M113" s="192" t="s">
        <v>3131</v>
      </c>
      <c r="N113" s="42" t="s">
        <v>3132</v>
      </c>
      <c r="O113" s="169"/>
      <c r="P113" s="169"/>
      <c r="Q113" s="169"/>
      <c r="R113" s="169"/>
      <c r="S113" s="169"/>
      <c r="T113" s="169"/>
      <c r="U113" s="169"/>
      <c r="V113" s="169"/>
      <c r="W113" s="169"/>
      <c r="X113" s="169"/>
      <c r="Y113" s="169"/>
      <c r="Z113" s="169"/>
      <c r="AA113" s="169"/>
      <c r="AB113" s="169"/>
      <c r="AC113" s="169"/>
      <c r="AD113" s="169"/>
      <c r="AE113" s="169"/>
      <c r="AF113" s="169"/>
      <c r="AG113" s="169"/>
      <c r="AH113" s="169"/>
    </row>
    <row r="114" ht="15.75" customHeight="1">
      <c r="A114" s="169"/>
      <c r="B114" s="38" t="s">
        <v>3094</v>
      </c>
      <c r="C114" s="191" t="s">
        <v>3133</v>
      </c>
      <c r="D114" s="40" t="s">
        <v>3116</v>
      </c>
      <c r="E114" s="40"/>
      <c r="F114" s="40" t="s">
        <v>1034</v>
      </c>
      <c r="G114" s="39" t="s">
        <v>1259</v>
      </c>
      <c r="H114" s="42" t="s">
        <v>3134</v>
      </c>
      <c r="I114" s="188">
        <v>44461.0</v>
      </c>
      <c r="J114" s="188">
        <v>44526.0</v>
      </c>
      <c r="K114" s="189">
        <v>590.0</v>
      </c>
      <c r="L114" s="19"/>
      <c r="M114" s="192" t="s">
        <v>3135</v>
      </c>
      <c r="N114" s="119" t="s">
        <v>3136</v>
      </c>
      <c r="O114" s="169"/>
      <c r="P114" s="169"/>
      <c r="Q114" s="169"/>
      <c r="R114" s="169"/>
      <c r="S114" s="169"/>
      <c r="T114" s="169"/>
      <c r="U114" s="169"/>
      <c r="V114" s="169"/>
      <c r="W114" s="169"/>
      <c r="X114" s="169"/>
      <c r="Y114" s="169"/>
      <c r="Z114" s="169"/>
      <c r="AA114" s="169"/>
      <c r="AB114" s="169"/>
      <c r="AC114" s="169"/>
      <c r="AD114" s="169"/>
      <c r="AE114" s="169"/>
      <c r="AF114" s="169"/>
      <c r="AG114" s="169"/>
      <c r="AH114" s="169"/>
    </row>
    <row r="115" ht="15.75" customHeight="1">
      <c r="A115" s="169"/>
      <c r="B115" s="38" t="s">
        <v>3094</v>
      </c>
      <c r="C115" s="191" t="s">
        <v>3137</v>
      </c>
      <c r="D115" s="40" t="s">
        <v>3138</v>
      </c>
      <c r="E115" s="40"/>
      <c r="F115" s="40" t="s">
        <v>1083</v>
      </c>
      <c r="G115" s="39" t="s">
        <v>1259</v>
      </c>
      <c r="H115" s="42" t="s">
        <v>3139</v>
      </c>
      <c r="I115" s="188">
        <v>44160.0</v>
      </c>
      <c r="J115" s="188">
        <v>44225.0</v>
      </c>
      <c r="K115" s="189">
        <v>362.0</v>
      </c>
      <c r="L115" s="19"/>
      <c r="M115" s="192" t="s">
        <v>3140</v>
      </c>
      <c r="N115" s="119" t="s">
        <v>3141</v>
      </c>
      <c r="O115" s="169"/>
      <c r="P115" s="169"/>
      <c r="Q115" s="169"/>
      <c r="R115" s="169"/>
      <c r="S115" s="169"/>
      <c r="T115" s="169"/>
      <c r="U115" s="169"/>
      <c r="V115" s="169"/>
      <c r="W115" s="169"/>
      <c r="X115" s="169"/>
      <c r="Y115" s="169"/>
      <c r="Z115" s="169"/>
      <c r="AA115" s="169"/>
      <c r="AB115" s="169"/>
      <c r="AC115" s="169"/>
      <c r="AD115" s="169"/>
      <c r="AE115" s="169"/>
      <c r="AF115" s="169"/>
      <c r="AG115" s="169"/>
      <c r="AH115" s="169"/>
    </row>
    <row r="116" ht="15.75" customHeight="1">
      <c r="A116" s="169"/>
      <c r="B116" s="38" t="s">
        <v>3094</v>
      </c>
      <c r="C116" s="191" t="s">
        <v>3142</v>
      </c>
      <c r="D116" s="40" t="s">
        <v>3138</v>
      </c>
      <c r="E116" s="40"/>
      <c r="F116" s="40" t="s">
        <v>1083</v>
      </c>
      <c r="G116" s="39" t="s">
        <v>1259</v>
      </c>
      <c r="H116" s="42" t="s">
        <v>3143</v>
      </c>
      <c r="I116" s="188">
        <v>44160.0</v>
      </c>
      <c r="J116" s="188">
        <v>44225.0</v>
      </c>
      <c r="K116" s="189">
        <v>496.0</v>
      </c>
      <c r="L116" s="19"/>
      <c r="M116" s="192" t="s">
        <v>3144</v>
      </c>
      <c r="N116" s="119" t="s">
        <v>3145</v>
      </c>
      <c r="O116" s="169"/>
      <c r="P116" s="169"/>
      <c r="Q116" s="169"/>
      <c r="R116" s="169"/>
      <c r="S116" s="169"/>
      <c r="T116" s="169"/>
      <c r="U116" s="169"/>
      <c r="V116" s="169"/>
      <c r="W116" s="169"/>
      <c r="X116" s="169"/>
      <c r="Y116" s="169"/>
      <c r="Z116" s="169"/>
      <c r="AA116" s="169"/>
      <c r="AB116" s="169"/>
      <c r="AC116" s="169"/>
      <c r="AD116" s="169"/>
      <c r="AE116" s="169"/>
      <c r="AF116" s="169"/>
      <c r="AG116" s="169"/>
      <c r="AH116" s="169"/>
    </row>
    <row r="117" ht="15.75" customHeight="1">
      <c r="A117" s="169"/>
      <c r="B117" s="38" t="s">
        <v>3094</v>
      </c>
      <c r="C117" s="191" t="s">
        <v>3146</v>
      </c>
      <c r="D117" s="40" t="s">
        <v>3147</v>
      </c>
      <c r="E117" s="40"/>
      <c r="F117" s="40" t="s">
        <v>1083</v>
      </c>
      <c r="G117" s="39" t="s">
        <v>1259</v>
      </c>
      <c r="H117" s="42" t="s">
        <v>3148</v>
      </c>
      <c r="I117" s="188">
        <v>44461.0</v>
      </c>
      <c r="J117" s="188">
        <v>44526.0</v>
      </c>
      <c r="K117" s="189">
        <v>862.0</v>
      </c>
      <c r="L117" s="19"/>
      <c r="M117" s="192" t="s">
        <v>3149</v>
      </c>
      <c r="N117" s="119" t="s">
        <v>3150</v>
      </c>
      <c r="O117" s="169"/>
      <c r="P117" s="169"/>
      <c r="Q117" s="169"/>
      <c r="R117" s="169"/>
      <c r="S117" s="169"/>
      <c r="T117" s="169"/>
      <c r="U117" s="169"/>
      <c r="V117" s="169"/>
      <c r="W117" s="169"/>
      <c r="X117" s="169"/>
      <c r="Y117" s="169"/>
      <c r="Z117" s="169"/>
      <c r="AA117" s="169"/>
      <c r="AB117" s="169"/>
      <c r="AC117" s="169"/>
      <c r="AD117" s="169"/>
      <c r="AE117" s="169"/>
      <c r="AF117" s="169"/>
      <c r="AG117" s="169"/>
      <c r="AH117" s="169"/>
    </row>
    <row r="118" ht="15.75" customHeight="1">
      <c r="A118" s="169"/>
      <c r="B118" s="38" t="s">
        <v>3094</v>
      </c>
      <c r="C118" s="191" t="s">
        <v>3151</v>
      </c>
      <c r="D118" s="40" t="s">
        <v>3147</v>
      </c>
      <c r="E118" s="40"/>
      <c r="F118" s="40" t="s">
        <v>1083</v>
      </c>
      <c r="G118" s="39" t="s">
        <v>1259</v>
      </c>
      <c r="H118" s="42" t="s">
        <v>3152</v>
      </c>
      <c r="I118" s="188">
        <v>44461.0</v>
      </c>
      <c r="J118" s="188">
        <v>44526.0</v>
      </c>
      <c r="K118" s="189">
        <v>1012.0</v>
      </c>
      <c r="L118" s="19"/>
      <c r="M118" s="192" t="s">
        <v>3153</v>
      </c>
      <c r="N118" s="119" t="s">
        <v>3154</v>
      </c>
      <c r="O118" s="169"/>
      <c r="P118" s="169"/>
      <c r="Q118" s="169"/>
      <c r="R118" s="169"/>
      <c r="S118" s="169"/>
      <c r="T118" s="169"/>
      <c r="U118" s="169"/>
      <c r="V118" s="169"/>
      <c r="W118" s="169"/>
      <c r="X118" s="169"/>
      <c r="Y118" s="169"/>
      <c r="Z118" s="169"/>
      <c r="AA118" s="169"/>
      <c r="AB118" s="169"/>
      <c r="AC118" s="169"/>
      <c r="AD118" s="169"/>
      <c r="AE118" s="169"/>
      <c r="AF118" s="169"/>
      <c r="AG118" s="169"/>
      <c r="AH118" s="169"/>
    </row>
    <row r="119" ht="15.75" customHeight="1">
      <c r="A119" s="169"/>
      <c r="B119" s="38" t="s">
        <v>3094</v>
      </c>
      <c r="C119" s="191" t="s">
        <v>3155</v>
      </c>
      <c r="D119" s="40" t="s">
        <v>3147</v>
      </c>
      <c r="E119" s="40"/>
      <c r="F119" s="40" t="s">
        <v>1083</v>
      </c>
      <c r="G119" s="39" t="s">
        <v>1259</v>
      </c>
      <c r="H119" s="42" t="s">
        <v>3156</v>
      </c>
      <c r="I119" s="188">
        <v>44461.0</v>
      </c>
      <c r="J119" s="188">
        <v>44526.0</v>
      </c>
      <c r="K119" s="189">
        <v>1064.0</v>
      </c>
      <c r="L119" s="19"/>
      <c r="M119" s="192" t="s">
        <v>3157</v>
      </c>
      <c r="N119" s="119" t="s">
        <v>3158</v>
      </c>
      <c r="O119" s="169"/>
      <c r="P119" s="169"/>
      <c r="Q119" s="169"/>
      <c r="R119" s="169"/>
      <c r="S119" s="169"/>
      <c r="T119" s="169"/>
      <c r="U119" s="169"/>
      <c r="V119" s="169"/>
      <c r="W119" s="169"/>
      <c r="X119" s="169"/>
      <c r="Y119" s="169"/>
      <c r="Z119" s="169"/>
      <c r="AA119" s="169"/>
      <c r="AB119" s="169"/>
      <c r="AC119" s="169"/>
      <c r="AD119" s="169"/>
      <c r="AE119" s="169"/>
      <c r="AF119" s="169"/>
      <c r="AG119" s="169"/>
      <c r="AH119" s="169"/>
    </row>
    <row r="120" ht="15.75" customHeight="1">
      <c r="A120" s="169"/>
      <c r="B120" s="38" t="s">
        <v>1256</v>
      </c>
      <c r="C120" s="191" t="s">
        <v>3098</v>
      </c>
      <c r="D120" s="40" t="s">
        <v>1268</v>
      </c>
      <c r="E120" s="40"/>
      <c r="F120" s="40" t="s">
        <v>3159</v>
      </c>
      <c r="G120" s="39" t="s">
        <v>1259</v>
      </c>
      <c r="H120" s="42" t="s">
        <v>3099</v>
      </c>
      <c r="I120" s="188">
        <v>44594.0</v>
      </c>
      <c r="J120" s="188">
        <v>44659.0</v>
      </c>
      <c r="K120" s="189">
        <v>616.0</v>
      </c>
      <c r="L120" s="19"/>
      <c r="M120" s="192" t="s">
        <v>1273</v>
      </c>
      <c r="N120" s="119" t="s">
        <v>3160</v>
      </c>
      <c r="O120" s="169"/>
      <c r="P120" s="169"/>
      <c r="Q120" s="169"/>
      <c r="R120" s="169"/>
      <c r="S120" s="169"/>
      <c r="T120" s="169"/>
      <c r="U120" s="169"/>
      <c r="V120" s="169"/>
      <c r="W120" s="169"/>
      <c r="X120" s="169"/>
      <c r="Y120" s="169"/>
      <c r="Z120" s="169"/>
      <c r="AA120" s="169"/>
      <c r="AB120" s="169"/>
      <c r="AC120" s="169"/>
      <c r="AD120" s="169"/>
      <c r="AE120" s="169"/>
      <c r="AF120" s="169"/>
      <c r="AG120" s="169"/>
      <c r="AH120" s="169"/>
    </row>
    <row r="121" ht="15.75" customHeight="1">
      <c r="A121" s="169"/>
      <c r="B121" s="38" t="s">
        <v>1256</v>
      </c>
      <c r="C121" s="191" t="s">
        <v>3102</v>
      </c>
      <c r="D121" s="40" t="s">
        <v>3161</v>
      </c>
      <c r="E121" s="40"/>
      <c r="F121" s="40" t="s">
        <v>3159</v>
      </c>
      <c r="G121" s="39" t="s">
        <v>1259</v>
      </c>
      <c r="H121" s="42" t="s">
        <v>3162</v>
      </c>
      <c r="I121" s="188">
        <v>44594.0</v>
      </c>
      <c r="J121" s="188">
        <v>44659.0</v>
      </c>
      <c r="K121" s="189">
        <v>802.0</v>
      </c>
      <c r="L121" s="19"/>
      <c r="M121" s="192" t="s">
        <v>1267</v>
      </c>
      <c r="N121" s="119" t="s">
        <v>3163</v>
      </c>
      <c r="O121" s="169"/>
      <c r="P121" s="169"/>
      <c r="Q121" s="169"/>
      <c r="R121" s="169"/>
      <c r="S121" s="169"/>
      <c r="T121" s="169"/>
      <c r="U121" s="169"/>
      <c r="V121" s="169"/>
      <c r="W121" s="169"/>
      <c r="X121" s="169"/>
      <c r="Y121" s="169"/>
      <c r="Z121" s="169"/>
      <c r="AA121" s="169"/>
      <c r="AB121" s="169"/>
      <c r="AC121" s="169"/>
      <c r="AD121" s="169"/>
      <c r="AE121" s="169"/>
      <c r="AF121" s="169"/>
      <c r="AG121" s="169"/>
      <c r="AH121" s="169"/>
    </row>
    <row r="122" ht="15.75" customHeight="1">
      <c r="A122" s="169"/>
      <c r="B122" s="38" t="s">
        <v>1256</v>
      </c>
      <c r="C122" s="191" t="s">
        <v>3164</v>
      </c>
      <c r="D122" s="40" t="s">
        <v>3165</v>
      </c>
      <c r="E122" s="40"/>
      <c r="F122" s="40" t="s">
        <v>3159</v>
      </c>
      <c r="G122" s="39" t="s">
        <v>1259</v>
      </c>
      <c r="H122" s="42" t="s">
        <v>3166</v>
      </c>
      <c r="I122" s="188">
        <v>44594.0</v>
      </c>
      <c r="J122" s="188">
        <v>44659.0</v>
      </c>
      <c r="K122" s="189">
        <v>832.0</v>
      </c>
      <c r="L122" s="19"/>
      <c r="M122" s="192" t="s">
        <v>1267</v>
      </c>
      <c r="N122" s="119" t="s">
        <v>3163</v>
      </c>
      <c r="O122" s="169"/>
      <c r="P122" s="169"/>
      <c r="Q122" s="169"/>
      <c r="R122" s="169"/>
      <c r="S122" s="169"/>
      <c r="T122" s="169"/>
      <c r="U122" s="169"/>
      <c r="V122" s="169"/>
      <c r="W122" s="169"/>
      <c r="X122" s="169"/>
      <c r="Y122" s="169"/>
      <c r="Z122" s="169"/>
      <c r="AA122" s="169"/>
      <c r="AB122" s="169"/>
      <c r="AC122" s="169"/>
      <c r="AD122" s="169"/>
      <c r="AE122" s="169"/>
      <c r="AF122" s="169"/>
      <c r="AG122" s="169"/>
      <c r="AH122" s="169"/>
    </row>
    <row r="123" ht="15.75" customHeight="1">
      <c r="A123" s="169"/>
      <c r="B123" s="38" t="s">
        <v>1256</v>
      </c>
      <c r="C123" s="191" t="s">
        <v>3105</v>
      </c>
      <c r="D123" s="40" t="s">
        <v>1268</v>
      </c>
      <c r="E123" s="40"/>
      <c r="F123" s="40" t="s">
        <v>3159</v>
      </c>
      <c r="G123" s="39" t="s">
        <v>1259</v>
      </c>
      <c r="H123" s="42" t="s">
        <v>3106</v>
      </c>
      <c r="I123" s="188">
        <v>44594.0</v>
      </c>
      <c r="J123" s="188">
        <v>44659.0</v>
      </c>
      <c r="K123" s="189">
        <v>1114.0</v>
      </c>
      <c r="L123" s="19"/>
      <c r="M123" s="192" t="s">
        <v>1267</v>
      </c>
      <c r="N123" s="119" t="s">
        <v>3163</v>
      </c>
      <c r="O123" s="169"/>
      <c r="P123" s="169"/>
      <c r="Q123" s="169"/>
      <c r="R123" s="169"/>
      <c r="S123" s="169"/>
      <c r="T123" s="169"/>
      <c r="U123" s="169"/>
      <c r="V123" s="169"/>
      <c r="W123" s="169"/>
      <c r="X123" s="169"/>
      <c r="Y123" s="169"/>
      <c r="Z123" s="169"/>
      <c r="AA123" s="169"/>
      <c r="AB123" s="169"/>
      <c r="AC123" s="169"/>
      <c r="AD123" s="169"/>
      <c r="AE123" s="169"/>
      <c r="AF123" s="169"/>
      <c r="AG123" s="169"/>
      <c r="AH123" s="169"/>
    </row>
    <row r="124" ht="15.75" customHeight="1">
      <c r="A124" s="169"/>
      <c r="B124" s="38" t="s">
        <v>1256</v>
      </c>
      <c r="C124" s="191" t="s">
        <v>3109</v>
      </c>
      <c r="D124" s="40" t="s">
        <v>3161</v>
      </c>
      <c r="E124" s="40"/>
      <c r="F124" s="40" t="s">
        <v>3159</v>
      </c>
      <c r="G124" s="39" t="s">
        <v>1259</v>
      </c>
      <c r="H124" s="42" t="s">
        <v>3110</v>
      </c>
      <c r="I124" s="188">
        <v>44594.0</v>
      </c>
      <c r="J124" s="188">
        <v>44659.0</v>
      </c>
      <c r="K124" s="189">
        <v>1300.0</v>
      </c>
      <c r="L124" s="19"/>
      <c r="M124" s="192" t="s">
        <v>1267</v>
      </c>
      <c r="N124" s="119" t="s">
        <v>3163</v>
      </c>
      <c r="O124" s="169"/>
      <c r="P124" s="169"/>
      <c r="Q124" s="169"/>
      <c r="R124" s="169"/>
      <c r="S124" s="169"/>
      <c r="T124" s="169"/>
      <c r="U124" s="169"/>
      <c r="V124" s="169"/>
      <c r="W124" s="169"/>
      <c r="X124" s="169"/>
      <c r="Y124" s="169"/>
      <c r="Z124" s="169"/>
      <c r="AA124" s="169"/>
      <c r="AB124" s="169"/>
      <c r="AC124" s="169"/>
      <c r="AD124" s="169"/>
      <c r="AE124" s="169"/>
      <c r="AF124" s="169"/>
      <c r="AG124" s="169"/>
      <c r="AH124" s="169"/>
    </row>
    <row r="125" ht="15.75" customHeight="1">
      <c r="A125" s="169"/>
      <c r="B125" s="38" t="s">
        <v>1256</v>
      </c>
      <c r="C125" s="191" t="s">
        <v>3113</v>
      </c>
      <c r="D125" s="40" t="s">
        <v>3165</v>
      </c>
      <c r="E125" s="40"/>
      <c r="F125" s="40" t="s">
        <v>3159</v>
      </c>
      <c r="G125" s="39" t="s">
        <v>1259</v>
      </c>
      <c r="H125" s="42" t="s">
        <v>3114</v>
      </c>
      <c r="I125" s="188">
        <v>44594.0</v>
      </c>
      <c r="J125" s="188">
        <v>44659.0</v>
      </c>
      <c r="K125" s="189">
        <v>1330.0</v>
      </c>
      <c r="L125" s="19"/>
      <c r="M125" s="192" t="s">
        <v>1267</v>
      </c>
      <c r="N125" s="119" t="s">
        <v>3163</v>
      </c>
      <c r="O125" s="169"/>
      <c r="P125" s="169"/>
      <c r="Q125" s="169"/>
      <c r="R125" s="169"/>
      <c r="S125" s="169"/>
      <c r="T125" s="169"/>
      <c r="U125" s="169"/>
      <c r="V125" s="169"/>
      <c r="W125" s="169"/>
      <c r="X125" s="169"/>
      <c r="Y125" s="169"/>
      <c r="Z125" s="169"/>
      <c r="AA125" s="169"/>
      <c r="AB125" s="169"/>
      <c r="AC125" s="169"/>
      <c r="AD125" s="169"/>
      <c r="AE125" s="169"/>
      <c r="AF125" s="169"/>
      <c r="AG125" s="169"/>
      <c r="AH125" s="169"/>
    </row>
    <row r="126" ht="15.75" customHeight="1">
      <c r="A126" s="169"/>
      <c r="B126" s="38" t="s">
        <v>1256</v>
      </c>
      <c r="C126" s="191" t="s">
        <v>3167</v>
      </c>
      <c r="D126" s="40" t="s">
        <v>1268</v>
      </c>
      <c r="E126" s="40"/>
      <c r="F126" s="40" t="s">
        <v>1051</v>
      </c>
      <c r="G126" s="39" t="s">
        <v>1259</v>
      </c>
      <c r="H126" s="48" t="s">
        <v>3168</v>
      </c>
      <c r="I126" s="188">
        <v>44742.0</v>
      </c>
      <c r="J126" s="188">
        <v>44865.0</v>
      </c>
      <c r="K126" s="189">
        <v>940.0</v>
      </c>
      <c r="L126" s="19"/>
      <c r="M126" s="192" t="s">
        <v>1267</v>
      </c>
      <c r="N126" s="119" t="s">
        <v>3163</v>
      </c>
      <c r="O126" s="169"/>
      <c r="P126" s="169"/>
      <c r="Q126" s="169"/>
      <c r="R126" s="169"/>
      <c r="S126" s="169"/>
      <c r="T126" s="169"/>
      <c r="U126" s="169"/>
      <c r="V126" s="169"/>
      <c r="W126" s="169"/>
      <c r="X126" s="169"/>
      <c r="Y126" s="169"/>
      <c r="Z126" s="169"/>
      <c r="AA126" s="169"/>
      <c r="AB126" s="169"/>
      <c r="AC126" s="169"/>
      <c r="AD126" s="169"/>
      <c r="AE126" s="169"/>
      <c r="AF126" s="169"/>
      <c r="AG126" s="169"/>
      <c r="AH126" s="169"/>
    </row>
    <row r="127" ht="15.75" customHeight="1">
      <c r="A127" s="169"/>
      <c r="B127" s="38" t="s">
        <v>1256</v>
      </c>
      <c r="C127" s="191" t="s">
        <v>3169</v>
      </c>
      <c r="D127" s="40" t="s">
        <v>3170</v>
      </c>
      <c r="E127" s="40"/>
      <c r="F127" s="40" t="s">
        <v>1051</v>
      </c>
      <c r="G127" s="39" t="s">
        <v>1259</v>
      </c>
      <c r="H127" s="48" t="s">
        <v>3171</v>
      </c>
      <c r="I127" s="188">
        <v>44742.0</v>
      </c>
      <c r="J127" s="188">
        <v>44865.0</v>
      </c>
      <c r="K127" s="189">
        <v>2600.0</v>
      </c>
      <c r="L127" s="19"/>
      <c r="M127" s="192" t="s">
        <v>1270</v>
      </c>
      <c r="N127" s="119" t="s">
        <v>1272</v>
      </c>
      <c r="O127" s="169"/>
      <c r="P127" s="169"/>
      <c r="Q127" s="169"/>
      <c r="R127" s="169"/>
      <c r="S127" s="169"/>
      <c r="T127" s="169"/>
      <c r="U127" s="169"/>
      <c r="V127" s="169"/>
      <c r="W127" s="169"/>
      <c r="X127" s="169"/>
      <c r="Y127" s="169"/>
      <c r="Z127" s="169"/>
      <c r="AA127" s="169"/>
      <c r="AB127" s="169"/>
      <c r="AC127" s="169"/>
      <c r="AD127" s="169"/>
      <c r="AE127" s="169"/>
      <c r="AF127" s="169"/>
      <c r="AG127" s="169"/>
      <c r="AH127" s="169"/>
    </row>
    <row r="128" ht="15.75" customHeight="1">
      <c r="A128" s="169"/>
      <c r="B128" s="38" t="s">
        <v>1256</v>
      </c>
      <c r="C128" s="191" t="s">
        <v>3172</v>
      </c>
      <c r="D128" s="40" t="s">
        <v>3165</v>
      </c>
      <c r="E128" s="40"/>
      <c r="F128" s="40" t="s">
        <v>1051</v>
      </c>
      <c r="G128" s="39" t="s">
        <v>1259</v>
      </c>
      <c r="H128" s="48" t="s">
        <v>3173</v>
      </c>
      <c r="I128" s="188">
        <v>44742.0</v>
      </c>
      <c r="J128" s="188">
        <v>44865.0</v>
      </c>
      <c r="K128" s="189">
        <v>1160.0</v>
      </c>
      <c r="L128" s="19"/>
      <c r="M128" s="192" t="s">
        <v>3174</v>
      </c>
      <c r="N128" s="121" t="s">
        <v>3175</v>
      </c>
      <c r="O128" s="169"/>
      <c r="P128" s="169"/>
      <c r="Q128" s="169"/>
      <c r="R128" s="169"/>
      <c r="S128" s="169"/>
      <c r="T128" s="169"/>
      <c r="U128" s="169"/>
      <c r="V128" s="169"/>
      <c r="W128" s="169"/>
      <c r="X128" s="169"/>
      <c r="Y128" s="169"/>
      <c r="Z128" s="169"/>
      <c r="AA128" s="169"/>
      <c r="AB128" s="169"/>
      <c r="AC128" s="169"/>
      <c r="AD128" s="169"/>
      <c r="AE128" s="169"/>
      <c r="AF128" s="169"/>
      <c r="AG128" s="169"/>
      <c r="AH128" s="169"/>
    </row>
    <row r="129" ht="15.75" customHeight="1">
      <c r="A129" s="169"/>
      <c r="B129" s="38" t="s">
        <v>1256</v>
      </c>
      <c r="C129" s="191" t="s">
        <v>3176</v>
      </c>
      <c r="D129" s="40" t="s">
        <v>1271</v>
      </c>
      <c r="E129" s="40"/>
      <c r="F129" s="40" t="s">
        <v>1051</v>
      </c>
      <c r="G129" s="39" t="s">
        <v>1259</v>
      </c>
      <c r="H129" s="48" t="s">
        <v>3177</v>
      </c>
      <c r="I129" s="188">
        <v>44742.0</v>
      </c>
      <c r="J129" s="188">
        <v>44865.0</v>
      </c>
      <c r="K129" s="189">
        <v>1240.0</v>
      </c>
      <c r="L129" s="19"/>
      <c r="M129" s="192" t="s">
        <v>1270</v>
      </c>
      <c r="N129" s="119" t="s">
        <v>1272</v>
      </c>
      <c r="O129" s="169"/>
      <c r="P129" s="169"/>
      <c r="Q129" s="169"/>
      <c r="R129" s="169"/>
      <c r="S129" s="169"/>
      <c r="T129" s="169"/>
      <c r="U129" s="169"/>
      <c r="V129" s="169"/>
      <c r="W129" s="169"/>
      <c r="X129" s="169"/>
      <c r="Y129" s="169"/>
      <c r="Z129" s="169"/>
      <c r="AA129" s="169"/>
      <c r="AB129" s="169"/>
      <c r="AC129" s="169"/>
      <c r="AD129" s="169"/>
      <c r="AE129" s="169"/>
      <c r="AF129" s="169"/>
      <c r="AG129" s="169"/>
      <c r="AH129" s="169"/>
    </row>
    <row r="130" ht="15.75" customHeight="1">
      <c r="A130" s="169"/>
      <c r="B130" s="38" t="s">
        <v>1256</v>
      </c>
      <c r="C130" s="191" t="s">
        <v>3178</v>
      </c>
      <c r="D130" s="40" t="s">
        <v>3179</v>
      </c>
      <c r="E130" s="40"/>
      <c r="F130" s="40" t="s">
        <v>1051</v>
      </c>
      <c r="G130" s="39" t="s">
        <v>1259</v>
      </c>
      <c r="H130" s="48" t="s">
        <v>3180</v>
      </c>
      <c r="I130" s="188">
        <v>44742.0</v>
      </c>
      <c r="J130" s="188">
        <v>44865.0</v>
      </c>
      <c r="K130" s="189">
        <v>1410.0</v>
      </c>
      <c r="L130" s="19"/>
      <c r="M130" s="192" t="s">
        <v>1270</v>
      </c>
      <c r="N130" s="119" t="s">
        <v>1272</v>
      </c>
      <c r="O130" s="169"/>
      <c r="P130" s="169"/>
      <c r="Q130" s="169"/>
      <c r="R130" s="169"/>
      <c r="S130" s="169"/>
      <c r="T130" s="169"/>
      <c r="U130" s="169"/>
      <c r="V130" s="169"/>
      <c r="W130" s="169"/>
      <c r="X130" s="169"/>
      <c r="Y130" s="169"/>
      <c r="Z130" s="169"/>
      <c r="AA130" s="169"/>
      <c r="AB130" s="169"/>
      <c r="AC130" s="169"/>
      <c r="AD130" s="169"/>
      <c r="AE130" s="169"/>
      <c r="AF130" s="169"/>
      <c r="AG130" s="169"/>
      <c r="AH130" s="169"/>
    </row>
    <row r="131" ht="15.75" customHeight="1">
      <c r="A131" s="169"/>
      <c r="B131" s="38" t="s">
        <v>1256</v>
      </c>
      <c r="C131" s="191" t="s">
        <v>1295</v>
      </c>
      <c r="D131" s="40" t="s">
        <v>1278</v>
      </c>
      <c r="E131" s="40"/>
      <c r="F131" s="40" t="s">
        <v>1296</v>
      </c>
      <c r="G131" s="39" t="s">
        <v>1259</v>
      </c>
      <c r="H131" s="42" t="s">
        <v>3181</v>
      </c>
      <c r="I131" s="188">
        <v>45165.0</v>
      </c>
      <c r="J131" s="188">
        <v>45230.0</v>
      </c>
      <c r="K131" s="189">
        <v>264.0</v>
      </c>
      <c r="L131" s="19"/>
      <c r="M131" s="192" t="s">
        <v>1289</v>
      </c>
      <c r="N131" s="119" t="s">
        <v>3182</v>
      </c>
      <c r="O131" s="169"/>
      <c r="P131" s="169"/>
      <c r="Q131" s="169"/>
      <c r="R131" s="169"/>
      <c r="S131" s="169"/>
      <c r="T131" s="169"/>
      <c r="U131" s="169"/>
      <c r="V131" s="169"/>
      <c r="W131" s="169"/>
      <c r="X131" s="169"/>
      <c r="Y131" s="169"/>
      <c r="Z131" s="169"/>
      <c r="AA131" s="169"/>
      <c r="AB131" s="169"/>
      <c r="AC131" s="169"/>
      <c r="AD131" s="169"/>
      <c r="AE131" s="169"/>
      <c r="AF131" s="169"/>
      <c r="AG131" s="169"/>
      <c r="AH131" s="169"/>
    </row>
    <row r="132" ht="15.75" customHeight="1">
      <c r="A132" s="169"/>
      <c r="B132" s="38" t="s">
        <v>1256</v>
      </c>
      <c r="C132" s="191" t="s">
        <v>3121</v>
      </c>
      <c r="D132" s="40" t="s">
        <v>3183</v>
      </c>
      <c r="E132" s="40"/>
      <c r="F132" s="40" t="s">
        <v>1296</v>
      </c>
      <c r="G132" s="39" t="s">
        <v>1259</v>
      </c>
      <c r="H132" s="42" t="s">
        <v>3122</v>
      </c>
      <c r="I132" s="188">
        <v>45165.0</v>
      </c>
      <c r="J132" s="188">
        <v>45230.0</v>
      </c>
      <c r="K132" s="189">
        <v>450.0</v>
      </c>
      <c r="L132" s="19"/>
      <c r="M132" s="192" t="s">
        <v>1289</v>
      </c>
      <c r="N132" s="119" t="s">
        <v>3182</v>
      </c>
      <c r="O132" s="169"/>
      <c r="P132" s="169"/>
      <c r="Q132" s="169"/>
      <c r="R132" s="169"/>
      <c r="S132" s="169"/>
      <c r="T132" s="169"/>
      <c r="U132" s="169"/>
      <c r="V132" s="169"/>
      <c r="W132" s="169"/>
      <c r="X132" s="169"/>
      <c r="Y132" s="169"/>
      <c r="Z132" s="169"/>
      <c r="AA132" s="169"/>
      <c r="AB132" s="169"/>
      <c r="AC132" s="169"/>
      <c r="AD132" s="169"/>
      <c r="AE132" s="169"/>
      <c r="AF132" s="169"/>
      <c r="AG132" s="169"/>
      <c r="AH132" s="169"/>
    </row>
    <row r="133" ht="15.75" customHeight="1">
      <c r="A133" s="169"/>
      <c r="B133" s="38" t="s">
        <v>1256</v>
      </c>
      <c r="C133" s="191" t="s">
        <v>1298</v>
      </c>
      <c r="D133" s="40" t="s">
        <v>1299</v>
      </c>
      <c r="E133" s="40"/>
      <c r="F133" s="40" t="s">
        <v>1296</v>
      </c>
      <c r="G133" s="39" t="s">
        <v>1259</v>
      </c>
      <c r="H133" s="42" t="s">
        <v>1300</v>
      </c>
      <c r="I133" s="188">
        <v>45165.0</v>
      </c>
      <c r="J133" s="188">
        <v>45230.0</v>
      </c>
      <c r="K133" s="189">
        <v>480.0</v>
      </c>
      <c r="L133" s="19"/>
      <c r="M133" s="192" t="s">
        <v>1289</v>
      </c>
      <c r="N133" s="119" t="s">
        <v>3182</v>
      </c>
      <c r="O133" s="169"/>
      <c r="P133" s="169"/>
      <c r="Q133" s="169"/>
      <c r="R133" s="169"/>
      <c r="S133" s="169"/>
      <c r="T133" s="169"/>
      <c r="U133" s="169"/>
      <c r="V133" s="169"/>
      <c r="W133" s="169"/>
      <c r="X133" s="169"/>
      <c r="Y133" s="169"/>
      <c r="Z133" s="169"/>
      <c r="AA133" s="169"/>
      <c r="AB133" s="169"/>
      <c r="AC133" s="169"/>
      <c r="AD133" s="169"/>
      <c r="AE133" s="169"/>
      <c r="AF133" s="169"/>
      <c r="AG133" s="169"/>
      <c r="AH133" s="169"/>
    </row>
    <row r="134" ht="15.75" customHeight="1">
      <c r="A134" s="169"/>
      <c r="B134" s="38" t="s">
        <v>1256</v>
      </c>
      <c r="C134" s="191" t="s">
        <v>3127</v>
      </c>
      <c r="D134" s="40" t="s">
        <v>1278</v>
      </c>
      <c r="E134" s="40"/>
      <c r="F134" s="40" t="s">
        <v>1296</v>
      </c>
      <c r="G134" s="39" t="s">
        <v>1259</v>
      </c>
      <c r="H134" s="48" t="s">
        <v>3128</v>
      </c>
      <c r="I134" s="188">
        <v>44742.0</v>
      </c>
      <c r="J134" s="188">
        <v>44833.0</v>
      </c>
      <c r="K134" s="189">
        <v>390.0</v>
      </c>
      <c r="L134" s="19"/>
      <c r="M134" s="192" t="s">
        <v>1277</v>
      </c>
      <c r="N134" s="119" t="s">
        <v>3184</v>
      </c>
      <c r="O134" s="169"/>
      <c r="P134" s="169"/>
      <c r="Q134" s="169"/>
      <c r="R134" s="169"/>
      <c r="S134" s="169"/>
      <c r="T134" s="169"/>
      <c r="U134" s="169"/>
      <c r="V134" s="169"/>
      <c r="W134" s="169"/>
      <c r="X134" s="169"/>
      <c r="Y134" s="169"/>
      <c r="Z134" s="169"/>
      <c r="AA134" s="169"/>
      <c r="AB134" s="169"/>
      <c r="AC134" s="169"/>
      <c r="AD134" s="169"/>
      <c r="AE134" s="169"/>
      <c r="AF134" s="169"/>
      <c r="AG134" s="169"/>
      <c r="AH134" s="169"/>
    </row>
    <row r="135" ht="15.75" customHeight="1">
      <c r="A135" s="169"/>
      <c r="B135" s="38" t="s">
        <v>1256</v>
      </c>
      <c r="C135" s="191" t="s">
        <v>3131</v>
      </c>
      <c r="D135" s="40" t="s">
        <v>3183</v>
      </c>
      <c r="E135" s="40"/>
      <c r="F135" s="40" t="s">
        <v>1296</v>
      </c>
      <c r="G135" s="39" t="s">
        <v>1259</v>
      </c>
      <c r="H135" s="48" t="s">
        <v>3132</v>
      </c>
      <c r="I135" s="188">
        <v>44742.0</v>
      </c>
      <c r="J135" s="188">
        <v>44833.0</v>
      </c>
      <c r="K135" s="189">
        <v>576.0</v>
      </c>
      <c r="L135" s="19"/>
      <c r="M135" s="192" t="s">
        <v>3185</v>
      </c>
      <c r="N135" s="121" t="s">
        <v>3186</v>
      </c>
      <c r="O135" s="169"/>
      <c r="P135" s="169"/>
      <c r="Q135" s="169"/>
      <c r="R135" s="169"/>
      <c r="S135" s="169"/>
      <c r="T135" s="169"/>
      <c r="U135" s="169"/>
      <c r="V135" s="169"/>
      <c r="W135" s="169"/>
      <c r="X135" s="169"/>
      <c r="Y135" s="169"/>
      <c r="Z135" s="169"/>
      <c r="AA135" s="169"/>
      <c r="AB135" s="169"/>
      <c r="AC135" s="169"/>
      <c r="AD135" s="169"/>
      <c r="AE135" s="169"/>
      <c r="AF135" s="169"/>
      <c r="AG135" s="169"/>
      <c r="AH135" s="169"/>
    </row>
    <row r="136" ht="15.75" customHeight="1">
      <c r="A136" s="169"/>
      <c r="B136" s="38" t="s">
        <v>1256</v>
      </c>
      <c r="C136" s="191" t="s">
        <v>3135</v>
      </c>
      <c r="D136" s="40" t="s">
        <v>1299</v>
      </c>
      <c r="E136" s="40"/>
      <c r="F136" s="40" t="s">
        <v>1296</v>
      </c>
      <c r="G136" s="39" t="s">
        <v>1259</v>
      </c>
      <c r="H136" s="48" t="s">
        <v>3136</v>
      </c>
      <c r="I136" s="188">
        <v>44742.0</v>
      </c>
      <c r="J136" s="188">
        <v>44833.0</v>
      </c>
      <c r="K136" s="189">
        <v>606.0</v>
      </c>
      <c r="L136" s="19"/>
      <c r="M136" s="192" t="s">
        <v>3185</v>
      </c>
      <c r="N136" s="121" t="s">
        <v>3186</v>
      </c>
      <c r="O136" s="169"/>
      <c r="P136" s="169"/>
      <c r="Q136" s="169"/>
      <c r="R136" s="169"/>
      <c r="S136" s="169"/>
      <c r="T136" s="169"/>
      <c r="U136" s="169"/>
      <c r="V136" s="169"/>
      <c r="W136" s="169"/>
      <c r="X136" s="169"/>
      <c r="Y136" s="169"/>
      <c r="Z136" s="169"/>
      <c r="AA136" s="169"/>
      <c r="AB136" s="169"/>
      <c r="AC136" s="169"/>
      <c r="AD136" s="169"/>
      <c r="AE136" s="169"/>
      <c r="AF136" s="169"/>
      <c r="AG136" s="169"/>
      <c r="AH136" s="169"/>
    </row>
    <row r="137" ht="15.75" customHeight="1">
      <c r="A137" s="169"/>
      <c r="B137" s="38" t="s">
        <v>1256</v>
      </c>
      <c r="C137" s="191" t="s">
        <v>3140</v>
      </c>
      <c r="D137" s="40" t="s">
        <v>1258</v>
      </c>
      <c r="E137" s="40"/>
      <c r="F137" s="40" t="s">
        <v>3187</v>
      </c>
      <c r="G137" s="39" t="s">
        <v>1259</v>
      </c>
      <c r="H137" s="42" t="s">
        <v>3141</v>
      </c>
      <c r="I137" s="188">
        <v>44594.0</v>
      </c>
      <c r="J137" s="188">
        <v>44659.0</v>
      </c>
      <c r="K137" s="189">
        <v>362.0</v>
      </c>
      <c r="L137" s="19"/>
      <c r="M137" s="192" t="s">
        <v>3188</v>
      </c>
      <c r="N137" s="119" t="s">
        <v>3189</v>
      </c>
      <c r="O137" s="169"/>
      <c r="P137" s="169"/>
      <c r="Q137" s="169"/>
      <c r="R137" s="169"/>
      <c r="S137" s="169"/>
      <c r="T137" s="169"/>
      <c r="U137" s="169"/>
      <c r="V137" s="169"/>
      <c r="W137" s="169"/>
      <c r="X137" s="169"/>
      <c r="Y137" s="169"/>
      <c r="Z137" s="169"/>
      <c r="AA137" s="169"/>
      <c r="AB137" s="169"/>
      <c r="AC137" s="169"/>
      <c r="AD137" s="169"/>
      <c r="AE137" s="169"/>
      <c r="AF137" s="169"/>
      <c r="AG137" s="169"/>
      <c r="AH137" s="169"/>
    </row>
    <row r="138" ht="15.75" customHeight="1">
      <c r="A138" s="169"/>
      <c r="B138" s="38" t="s">
        <v>1256</v>
      </c>
      <c r="C138" s="191" t="s">
        <v>3144</v>
      </c>
      <c r="D138" s="40" t="s">
        <v>3190</v>
      </c>
      <c r="E138" s="40"/>
      <c r="F138" s="40" t="s">
        <v>3187</v>
      </c>
      <c r="G138" s="39" t="s">
        <v>1259</v>
      </c>
      <c r="H138" s="42" t="s">
        <v>3145</v>
      </c>
      <c r="I138" s="188">
        <v>44594.0</v>
      </c>
      <c r="J138" s="188">
        <v>44659.0</v>
      </c>
      <c r="K138" s="189">
        <v>548.0</v>
      </c>
      <c r="L138" s="19"/>
      <c r="M138" s="192" t="s">
        <v>3188</v>
      </c>
      <c r="N138" s="119" t="s">
        <v>3189</v>
      </c>
      <c r="O138" s="169"/>
      <c r="P138" s="169"/>
      <c r="Q138" s="169"/>
      <c r="R138" s="169"/>
      <c r="S138" s="169"/>
      <c r="T138" s="169"/>
      <c r="U138" s="169"/>
      <c r="V138" s="169"/>
      <c r="W138" s="169"/>
      <c r="X138" s="169"/>
      <c r="Y138" s="169"/>
      <c r="Z138" s="169"/>
      <c r="AA138" s="169"/>
      <c r="AB138" s="169"/>
      <c r="AC138" s="169"/>
      <c r="AD138" s="169"/>
      <c r="AE138" s="169"/>
      <c r="AF138" s="169"/>
      <c r="AG138" s="169"/>
      <c r="AH138" s="169"/>
    </row>
    <row r="139" ht="15.75" customHeight="1">
      <c r="A139" s="169"/>
      <c r="B139" s="38" t="s">
        <v>1256</v>
      </c>
      <c r="C139" s="191" t="s">
        <v>3191</v>
      </c>
      <c r="D139" s="40" t="s">
        <v>3192</v>
      </c>
      <c r="E139" s="40"/>
      <c r="F139" s="40" t="s">
        <v>3187</v>
      </c>
      <c r="G139" s="39" t="s">
        <v>1259</v>
      </c>
      <c r="H139" s="42" t="s">
        <v>3193</v>
      </c>
      <c r="I139" s="188">
        <v>44594.0</v>
      </c>
      <c r="J139" s="188">
        <v>44659.0</v>
      </c>
      <c r="K139" s="189">
        <v>578.0</v>
      </c>
      <c r="L139" s="19"/>
      <c r="M139" s="192" t="s">
        <v>3188</v>
      </c>
      <c r="N139" s="119" t="s">
        <v>3189</v>
      </c>
      <c r="O139" s="169"/>
      <c r="P139" s="169"/>
      <c r="Q139" s="169"/>
      <c r="R139" s="169"/>
      <c r="S139" s="169"/>
      <c r="T139" s="169"/>
      <c r="U139" s="169"/>
      <c r="V139" s="169"/>
      <c r="W139" s="169"/>
      <c r="X139" s="169"/>
      <c r="Y139" s="169"/>
      <c r="Z139" s="169"/>
      <c r="AA139" s="169"/>
      <c r="AB139" s="169"/>
      <c r="AC139" s="169"/>
      <c r="AD139" s="169"/>
      <c r="AE139" s="169"/>
      <c r="AF139" s="169"/>
      <c r="AG139" s="169"/>
      <c r="AH139" s="169"/>
    </row>
    <row r="140" ht="15.75" customHeight="1">
      <c r="A140" s="169"/>
      <c r="B140" s="38" t="s">
        <v>1256</v>
      </c>
      <c r="C140" s="191" t="s">
        <v>3149</v>
      </c>
      <c r="D140" s="40" t="s">
        <v>1258</v>
      </c>
      <c r="E140" s="40"/>
      <c r="F140" s="40" t="s">
        <v>3187</v>
      </c>
      <c r="G140" s="39" t="s">
        <v>1259</v>
      </c>
      <c r="H140" s="42" t="s">
        <v>3150</v>
      </c>
      <c r="I140" s="188">
        <v>44594.0</v>
      </c>
      <c r="J140" s="188">
        <v>44659.0</v>
      </c>
      <c r="K140" s="189">
        <v>862.0</v>
      </c>
      <c r="L140" s="19"/>
      <c r="M140" s="192" t="s">
        <v>3188</v>
      </c>
      <c r="N140" s="119" t="s">
        <v>3189</v>
      </c>
      <c r="O140" s="169"/>
      <c r="P140" s="169"/>
      <c r="Q140" s="169"/>
      <c r="R140" s="169"/>
      <c r="S140" s="169"/>
      <c r="T140" s="169"/>
      <c r="U140" s="169"/>
      <c r="V140" s="169"/>
      <c r="W140" s="169"/>
      <c r="X140" s="169"/>
      <c r="Y140" s="169"/>
      <c r="Z140" s="169"/>
      <c r="AA140" s="169"/>
      <c r="AB140" s="169"/>
      <c r="AC140" s="169"/>
      <c r="AD140" s="169"/>
      <c r="AE140" s="169"/>
      <c r="AF140" s="169"/>
      <c r="AG140" s="169"/>
      <c r="AH140" s="169"/>
    </row>
    <row r="141" ht="15.75" customHeight="1">
      <c r="A141" s="169"/>
      <c r="B141" s="38" t="s">
        <v>1256</v>
      </c>
      <c r="C141" s="191" t="s">
        <v>3153</v>
      </c>
      <c r="D141" s="40" t="s">
        <v>3190</v>
      </c>
      <c r="E141" s="40"/>
      <c r="F141" s="40" t="s">
        <v>3187</v>
      </c>
      <c r="G141" s="39" t="s">
        <v>1259</v>
      </c>
      <c r="H141" s="42" t="s">
        <v>3154</v>
      </c>
      <c r="I141" s="188">
        <v>44594.0</v>
      </c>
      <c r="J141" s="188">
        <v>44659.0</v>
      </c>
      <c r="K141" s="189">
        <v>1048.0</v>
      </c>
      <c r="L141" s="19"/>
      <c r="M141" s="192" t="s">
        <v>3188</v>
      </c>
      <c r="N141" s="119" t="s">
        <v>3189</v>
      </c>
      <c r="O141" s="169"/>
      <c r="P141" s="169"/>
      <c r="Q141" s="169"/>
      <c r="R141" s="169"/>
      <c r="S141" s="169"/>
      <c r="T141" s="169"/>
      <c r="U141" s="169"/>
      <c r="V141" s="169"/>
      <c r="W141" s="169"/>
      <c r="X141" s="169"/>
      <c r="Y141" s="169"/>
      <c r="Z141" s="169"/>
      <c r="AA141" s="169"/>
      <c r="AB141" s="169"/>
      <c r="AC141" s="169"/>
      <c r="AD141" s="169"/>
      <c r="AE141" s="169"/>
      <c r="AF141" s="169"/>
      <c r="AG141" s="169"/>
      <c r="AH141" s="169"/>
    </row>
    <row r="142" ht="15.75" customHeight="1">
      <c r="A142" s="169"/>
      <c r="B142" s="38" t="s">
        <v>1256</v>
      </c>
      <c r="C142" s="191" t="s">
        <v>3157</v>
      </c>
      <c r="D142" s="40" t="s">
        <v>3192</v>
      </c>
      <c r="E142" s="40"/>
      <c r="F142" s="40" t="s">
        <v>3187</v>
      </c>
      <c r="G142" s="39" t="s">
        <v>1259</v>
      </c>
      <c r="H142" s="42" t="s">
        <v>3158</v>
      </c>
      <c r="I142" s="188">
        <v>44594.0</v>
      </c>
      <c r="J142" s="188">
        <v>44659.0</v>
      </c>
      <c r="K142" s="189">
        <v>1078.0</v>
      </c>
      <c r="L142" s="19"/>
      <c r="M142" s="192" t="s">
        <v>3188</v>
      </c>
      <c r="N142" s="119" t="s">
        <v>3189</v>
      </c>
      <c r="O142" s="169"/>
      <c r="P142" s="169"/>
      <c r="Q142" s="169"/>
      <c r="R142" s="169"/>
      <c r="S142" s="169"/>
      <c r="T142" s="169"/>
      <c r="U142" s="169"/>
      <c r="V142" s="169"/>
      <c r="W142" s="169"/>
      <c r="X142" s="169"/>
      <c r="Y142" s="169"/>
      <c r="Z142" s="169"/>
      <c r="AA142" s="169"/>
      <c r="AB142" s="169"/>
      <c r="AC142" s="169"/>
      <c r="AD142" s="169"/>
      <c r="AE142" s="169"/>
      <c r="AF142" s="169"/>
      <c r="AG142" s="169"/>
      <c r="AH142" s="169"/>
    </row>
    <row r="143" ht="15.75" customHeight="1">
      <c r="A143" s="169"/>
      <c r="B143" s="38" t="s">
        <v>2020</v>
      </c>
      <c r="C143" s="191" t="s">
        <v>3194</v>
      </c>
      <c r="D143" s="40" t="s">
        <v>3195</v>
      </c>
      <c r="E143" s="40"/>
      <c r="F143" s="40"/>
      <c r="G143" s="39"/>
      <c r="H143" s="42" t="s">
        <v>3196</v>
      </c>
      <c r="I143" s="188">
        <v>44138.0</v>
      </c>
      <c r="J143" s="188">
        <v>44203.0</v>
      </c>
      <c r="K143" s="189">
        <v>1790.0</v>
      </c>
      <c r="L143" s="19"/>
      <c r="M143" s="192" t="s">
        <v>3197</v>
      </c>
      <c r="N143" s="42"/>
      <c r="O143" s="169"/>
      <c r="P143" s="169"/>
      <c r="Q143" s="169"/>
      <c r="R143" s="169"/>
      <c r="S143" s="169"/>
      <c r="T143" s="169"/>
      <c r="U143" s="169"/>
      <c r="V143" s="169"/>
      <c r="W143" s="169"/>
      <c r="X143" s="169"/>
      <c r="Y143" s="169"/>
      <c r="Z143" s="169"/>
      <c r="AA143" s="169"/>
      <c r="AB143" s="169"/>
      <c r="AC143" s="169"/>
      <c r="AD143" s="169"/>
      <c r="AE143" s="169"/>
      <c r="AF143" s="169"/>
      <c r="AG143" s="169"/>
      <c r="AH143" s="169"/>
    </row>
    <row r="144" ht="15.75" customHeight="1">
      <c r="A144" s="169"/>
      <c r="B144" s="38" t="s">
        <v>2020</v>
      </c>
      <c r="C144" s="191" t="s">
        <v>3197</v>
      </c>
      <c r="D144" s="40" t="s">
        <v>3195</v>
      </c>
      <c r="E144" s="40"/>
      <c r="F144" s="40"/>
      <c r="G144" s="39" t="s">
        <v>2020</v>
      </c>
      <c r="H144" s="42" t="s">
        <v>3198</v>
      </c>
      <c r="I144" s="188">
        <v>44535.0</v>
      </c>
      <c r="J144" s="188">
        <v>44600.0</v>
      </c>
      <c r="K144" s="189">
        <v>1790.0</v>
      </c>
      <c r="L144" s="19"/>
      <c r="M144" s="192" t="s">
        <v>3199</v>
      </c>
      <c r="N144" s="42" t="s">
        <v>3196</v>
      </c>
      <c r="O144" s="169"/>
      <c r="P144" s="169"/>
      <c r="Q144" s="169"/>
      <c r="R144" s="169"/>
      <c r="S144" s="169"/>
      <c r="T144" s="169"/>
      <c r="U144" s="169"/>
      <c r="V144" s="169"/>
      <c r="W144" s="169"/>
      <c r="X144" s="169"/>
      <c r="Y144" s="169"/>
      <c r="Z144" s="169"/>
      <c r="AA144" s="169"/>
      <c r="AB144" s="169"/>
      <c r="AC144" s="169"/>
      <c r="AD144" s="169"/>
      <c r="AE144" s="169"/>
      <c r="AF144" s="169"/>
      <c r="AG144" s="169"/>
      <c r="AH144" s="169"/>
    </row>
    <row r="145" ht="15.75" customHeight="1">
      <c r="A145" s="169"/>
      <c r="B145" s="38" t="s">
        <v>2020</v>
      </c>
      <c r="C145" s="191" t="s">
        <v>3200</v>
      </c>
      <c r="D145" s="40" t="s">
        <v>3201</v>
      </c>
      <c r="E145" s="40"/>
      <c r="F145" s="40"/>
      <c r="G145" s="39" t="s">
        <v>2020</v>
      </c>
      <c r="H145" s="42" t="s">
        <v>3202</v>
      </c>
      <c r="I145" s="188">
        <v>44535.0</v>
      </c>
      <c r="J145" s="188">
        <v>44600.0</v>
      </c>
      <c r="K145" s="189">
        <v>4750.0</v>
      </c>
      <c r="L145" s="19"/>
      <c r="M145" s="192" t="s">
        <v>3203</v>
      </c>
      <c r="N145" s="119" t="s">
        <v>3204</v>
      </c>
      <c r="O145" s="169"/>
      <c r="P145" s="169"/>
      <c r="Q145" s="169"/>
      <c r="R145" s="169"/>
      <c r="S145" s="169"/>
      <c r="T145" s="169"/>
      <c r="U145" s="169"/>
      <c r="V145" s="169"/>
      <c r="W145" s="169"/>
      <c r="X145" s="169"/>
      <c r="Y145" s="169"/>
      <c r="Z145" s="169"/>
      <c r="AA145" s="169"/>
      <c r="AB145" s="169"/>
      <c r="AC145" s="169"/>
      <c r="AD145" s="169"/>
      <c r="AE145" s="169"/>
      <c r="AF145" s="169"/>
      <c r="AG145" s="169"/>
      <c r="AH145" s="169"/>
    </row>
    <row r="146" ht="15.75" customHeight="1">
      <c r="A146" s="169"/>
      <c r="B146" s="38" t="s">
        <v>2020</v>
      </c>
      <c r="C146" s="197" t="s">
        <v>3205</v>
      </c>
      <c r="D146" s="40" t="s">
        <v>3206</v>
      </c>
      <c r="E146" s="40"/>
      <c r="F146" s="40"/>
      <c r="G146" s="39" t="s">
        <v>2020</v>
      </c>
      <c r="H146" s="42" t="s">
        <v>3207</v>
      </c>
      <c r="I146" s="188">
        <v>44535.0</v>
      </c>
      <c r="J146" s="188">
        <v>44600.0</v>
      </c>
      <c r="K146" s="189">
        <v>2000.0</v>
      </c>
      <c r="L146" s="19"/>
      <c r="M146" s="192" t="s">
        <v>3208</v>
      </c>
      <c r="N146" s="42" t="s">
        <v>3209</v>
      </c>
      <c r="O146" s="169"/>
      <c r="P146" s="169"/>
      <c r="Q146" s="169"/>
      <c r="R146" s="169"/>
      <c r="S146" s="169"/>
      <c r="T146" s="169"/>
      <c r="U146" s="169"/>
      <c r="V146" s="169"/>
      <c r="W146" s="169"/>
      <c r="X146" s="169"/>
      <c r="Y146" s="169"/>
      <c r="Z146" s="169"/>
      <c r="AA146" s="169"/>
      <c r="AB146" s="169"/>
      <c r="AC146" s="169"/>
      <c r="AD146" s="169"/>
      <c r="AE146" s="169"/>
      <c r="AF146" s="169"/>
      <c r="AG146" s="169"/>
      <c r="AH146" s="169"/>
    </row>
    <row r="147" ht="15.75" customHeight="1">
      <c r="A147" s="169"/>
      <c r="B147" s="38" t="s">
        <v>2020</v>
      </c>
      <c r="C147" s="197" t="s">
        <v>3210</v>
      </c>
      <c r="D147" s="40" t="s">
        <v>3211</v>
      </c>
      <c r="E147" s="40"/>
      <c r="F147" s="40"/>
      <c r="G147" s="39" t="s">
        <v>2020</v>
      </c>
      <c r="H147" s="42" t="s">
        <v>3212</v>
      </c>
      <c r="I147" s="188">
        <v>44535.0</v>
      </c>
      <c r="J147" s="188">
        <v>44600.0</v>
      </c>
      <c r="K147" s="189">
        <v>2440.0</v>
      </c>
      <c r="L147" s="19"/>
      <c r="M147" s="192" t="s">
        <v>3213</v>
      </c>
      <c r="N147" s="42" t="s">
        <v>3214</v>
      </c>
      <c r="O147" s="169"/>
      <c r="P147" s="169"/>
      <c r="Q147" s="169"/>
      <c r="R147" s="169"/>
      <c r="S147" s="169"/>
      <c r="T147" s="169"/>
      <c r="U147" s="169"/>
      <c r="V147" s="169"/>
      <c r="W147" s="169"/>
      <c r="X147" s="169"/>
      <c r="Y147" s="169"/>
      <c r="Z147" s="169"/>
      <c r="AA147" s="169"/>
      <c r="AB147" s="169"/>
      <c r="AC147" s="169"/>
      <c r="AD147" s="169"/>
      <c r="AE147" s="169"/>
      <c r="AF147" s="169"/>
      <c r="AG147" s="169"/>
      <c r="AH147" s="169"/>
    </row>
    <row r="148" ht="15.75" customHeight="1">
      <c r="A148" s="169"/>
      <c r="B148" s="38" t="s">
        <v>2020</v>
      </c>
      <c r="C148" s="197" t="s">
        <v>3215</v>
      </c>
      <c r="D148" s="40" t="s">
        <v>3216</v>
      </c>
      <c r="E148" s="40"/>
      <c r="F148" s="40"/>
      <c r="G148" s="39"/>
      <c r="H148" s="42" t="s">
        <v>3217</v>
      </c>
      <c r="I148" s="188">
        <v>44488.0</v>
      </c>
      <c r="J148" s="188">
        <v>44553.0</v>
      </c>
      <c r="K148" s="189">
        <v>9030.0</v>
      </c>
      <c r="L148" s="19"/>
      <c r="M148" s="192" t="s">
        <v>3218</v>
      </c>
      <c r="N148" s="42" t="s">
        <v>3217</v>
      </c>
      <c r="O148" s="169"/>
      <c r="P148" s="169"/>
      <c r="Q148" s="169"/>
      <c r="R148" s="169"/>
      <c r="S148" s="169"/>
      <c r="T148" s="169"/>
      <c r="U148" s="169"/>
      <c r="V148" s="169"/>
      <c r="W148" s="169"/>
      <c r="X148" s="169"/>
      <c r="Y148" s="169"/>
      <c r="Z148" s="169"/>
      <c r="AA148" s="169"/>
      <c r="AB148" s="169"/>
      <c r="AC148" s="169"/>
      <c r="AD148" s="169"/>
      <c r="AE148" s="169"/>
      <c r="AF148" s="169"/>
      <c r="AG148" s="169"/>
      <c r="AH148" s="169"/>
    </row>
    <row r="149" ht="15.75" customHeight="1">
      <c r="A149" s="169"/>
      <c r="B149" s="38" t="s">
        <v>2020</v>
      </c>
      <c r="C149" s="197" t="s">
        <v>3219</v>
      </c>
      <c r="D149" s="40" t="s">
        <v>3216</v>
      </c>
      <c r="E149" s="40"/>
      <c r="F149" s="40"/>
      <c r="G149" s="39"/>
      <c r="H149" s="42" t="s">
        <v>3220</v>
      </c>
      <c r="I149" s="188">
        <v>44488.0</v>
      </c>
      <c r="J149" s="188">
        <v>44553.0</v>
      </c>
      <c r="K149" s="189">
        <v>8730.0</v>
      </c>
      <c r="L149" s="19"/>
      <c r="M149" s="192" t="s">
        <v>3221</v>
      </c>
      <c r="N149" s="119" t="s">
        <v>3220</v>
      </c>
      <c r="O149" s="169"/>
      <c r="P149" s="169"/>
      <c r="Q149" s="169"/>
      <c r="R149" s="169"/>
      <c r="S149" s="169"/>
      <c r="T149" s="169"/>
      <c r="U149" s="169"/>
      <c r="V149" s="169"/>
      <c r="W149" s="169"/>
      <c r="X149" s="169"/>
      <c r="Y149" s="169"/>
      <c r="Z149" s="169"/>
      <c r="AA149" s="169"/>
      <c r="AB149" s="169"/>
      <c r="AC149" s="169"/>
      <c r="AD149" s="169"/>
      <c r="AE149" s="169"/>
      <c r="AF149" s="169"/>
      <c r="AG149" s="169"/>
      <c r="AH149" s="169"/>
    </row>
    <row r="150" ht="15.75" customHeight="1">
      <c r="A150" s="169"/>
      <c r="B150" s="38" t="s">
        <v>2020</v>
      </c>
      <c r="C150" s="197" t="s">
        <v>3222</v>
      </c>
      <c r="D150" s="40" t="s">
        <v>3216</v>
      </c>
      <c r="E150" s="40"/>
      <c r="F150" s="40"/>
      <c r="G150" s="39"/>
      <c r="H150" s="42" t="s">
        <v>3223</v>
      </c>
      <c r="I150" s="188">
        <v>44488.0</v>
      </c>
      <c r="J150" s="188">
        <v>44553.0</v>
      </c>
      <c r="K150" s="189">
        <v>10840.0</v>
      </c>
      <c r="L150" s="19"/>
      <c r="M150" s="192" t="s">
        <v>3224</v>
      </c>
      <c r="N150" s="119" t="s">
        <v>3223</v>
      </c>
      <c r="O150" s="169"/>
      <c r="P150" s="169"/>
      <c r="Q150" s="169"/>
      <c r="R150" s="169"/>
      <c r="S150" s="169"/>
      <c r="T150" s="169"/>
      <c r="U150" s="169"/>
      <c r="V150" s="169"/>
      <c r="W150" s="169"/>
      <c r="X150" s="169"/>
      <c r="Y150" s="169"/>
      <c r="Z150" s="169"/>
      <c r="AA150" s="169"/>
      <c r="AB150" s="169"/>
      <c r="AC150" s="169"/>
      <c r="AD150" s="169"/>
      <c r="AE150" s="169"/>
      <c r="AF150" s="169"/>
      <c r="AG150" s="169"/>
      <c r="AH150" s="169"/>
    </row>
    <row r="151" ht="15.75" customHeight="1">
      <c r="A151" s="169"/>
      <c r="B151" s="38" t="s">
        <v>2020</v>
      </c>
      <c r="C151" s="197" t="s">
        <v>3225</v>
      </c>
      <c r="D151" s="40" t="s">
        <v>3226</v>
      </c>
      <c r="E151" s="191"/>
      <c r="F151" s="191"/>
      <c r="G151" s="39" t="s">
        <v>2020</v>
      </c>
      <c r="H151" s="42" t="s">
        <v>3227</v>
      </c>
      <c r="I151" s="188">
        <v>44535.0</v>
      </c>
      <c r="J151" s="188">
        <v>44600.0</v>
      </c>
      <c r="K151" s="189">
        <v>4030.0</v>
      </c>
      <c r="L151" s="19"/>
      <c r="M151" s="192" t="s">
        <v>3228</v>
      </c>
      <c r="N151" s="119" t="s">
        <v>3229</v>
      </c>
      <c r="O151" s="169"/>
      <c r="P151" s="169"/>
      <c r="Q151" s="169"/>
      <c r="R151" s="169"/>
      <c r="S151" s="169"/>
      <c r="T151" s="169"/>
      <c r="U151" s="169"/>
      <c r="V151" s="169"/>
      <c r="W151" s="169"/>
      <c r="X151" s="169"/>
      <c r="Y151" s="169"/>
      <c r="Z151" s="169"/>
      <c r="AA151" s="169"/>
      <c r="AB151" s="169"/>
      <c r="AC151" s="169"/>
      <c r="AD151" s="169"/>
      <c r="AE151" s="169"/>
      <c r="AF151" s="169"/>
      <c r="AG151" s="169"/>
      <c r="AH151" s="169"/>
    </row>
    <row r="152" ht="15.75" customHeight="1">
      <c r="A152" s="169"/>
      <c r="B152" s="38" t="s">
        <v>118</v>
      </c>
      <c r="C152" s="197" t="s">
        <v>3230</v>
      </c>
      <c r="D152" s="40" t="s">
        <v>812</v>
      </c>
      <c r="E152" s="40" t="s">
        <v>3231</v>
      </c>
      <c r="F152" s="40" t="s">
        <v>623</v>
      </c>
      <c r="G152" s="39" t="s">
        <v>192</v>
      </c>
      <c r="H152" s="42" t="s">
        <v>3232</v>
      </c>
      <c r="I152" s="188">
        <v>44404.0</v>
      </c>
      <c r="J152" s="188">
        <v>44469.0</v>
      </c>
      <c r="K152" s="189">
        <v>201.0</v>
      </c>
      <c r="L152" s="19"/>
      <c r="M152" s="192" t="s">
        <v>3233</v>
      </c>
      <c r="N152" s="119" t="s">
        <v>3232</v>
      </c>
      <c r="O152" s="169"/>
      <c r="P152" s="169"/>
      <c r="Q152" s="169"/>
      <c r="R152" s="169"/>
      <c r="S152" s="169"/>
      <c r="T152" s="169"/>
      <c r="U152" s="169"/>
      <c r="V152" s="169"/>
      <c r="W152" s="169"/>
      <c r="X152" s="169"/>
      <c r="Y152" s="169"/>
      <c r="Z152" s="169"/>
      <c r="AA152" s="169"/>
      <c r="AB152" s="169"/>
      <c r="AC152" s="169"/>
      <c r="AD152" s="169"/>
      <c r="AE152" s="169"/>
      <c r="AF152" s="169"/>
      <c r="AG152" s="169"/>
      <c r="AH152" s="169"/>
    </row>
    <row r="153" ht="15.75" customHeight="1">
      <c r="A153" s="169"/>
      <c r="B153" s="38" t="s">
        <v>118</v>
      </c>
      <c r="C153" s="197" t="s">
        <v>3234</v>
      </c>
      <c r="D153" s="40" t="s">
        <v>812</v>
      </c>
      <c r="E153" s="40" t="s">
        <v>3231</v>
      </c>
      <c r="F153" s="40" t="s">
        <v>623</v>
      </c>
      <c r="G153" s="39" t="s">
        <v>192</v>
      </c>
      <c r="H153" s="42" t="s">
        <v>3235</v>
      </c>
      <c r="I153" s="188">
        <v>44404.0</v>
      </c>
      <c r="J153" s="188">
        <v>44469.0</v>
      </c>
      <c r="K153" s="189">
        <v>201.0</v>
      </c>
      <c r="L153" s="19"/>
      <c r="M153" s="192" t="s">
        <v>3236</v>
      </c>
      <c r="N153" s="119" t="s">
        <v>3235</v>
      </c>
      <c r="O153" s="169"/>
      <c r="P153" s="169"/>
      <c r="Q153" s="169"/>
      <c r="R153" s="169"/>
      <c r="S153" s="169"/>
      <c r="T153" s="169"/>
      <c r="U153" s="169"/>
      <c r="V153" s="169"/>
      <c r="W153" s="169"/>
      <c r="X153" s="169"/>
      <c r="Y153" s="169"/>
      <c r="Z153" s="169"/>
      <c r="AA153" s="169"/>
      <c r="AB153" s="169"/>
      <c r="AC153" s="169"/>
      <c r="AD153" s="169"/>
      <c r="AE153" s="169"/>
      <c r="AF153" s="169"/>
      <c r="AG153" s="169"/>
      <c r="AH153" s="169"/>
    </row>
    <row r="154" ht="15.75" customHeight="1">
      <c r="A154" s="169"/>
      <c r="B154" s="38" t="s">
        <v>118</v>
      </c>
      <c r="C154" s="197" t="s">
        <v>3237</v>
      </c>
      <c r="D154" s="40" t="s">
        <v>812</v>
      </c>
      <c r="E154" s="40" t="s">
        <v>3231</v>
      </c>
      <c r="F154" s="40" t="s">
        <v>623</v>
      </c>
      <c r="G154" s="39" t="s">
        <v>192</v>
      </c>
      <c r="H154" s="42" t="s">
        <v>3238</v>
      </c>
      <c r="I154" s="188">
        <v>44404.0</v>
      </c>
      <c r="J154" s="188">
        <v>44469.0</v>
      </c>
      <c r="K154" s="189">
        <v>201.0</v>
      </c>
      <c r="L154" s="19"/>
      <c r="M154" s="192" t="s">
        <v>3237</v>
      </c>
      <c r="N154" s="42"/>
      <c r="O154" s="169"/>
      <c r="P154" s="169"/>
      <c r="Q154" s="169"/>
      <c r="R154" s="169"/>
      <c r="S154" s="169"/>
      <c r="T154" s="169"/>
      <c r="U154" s="169"/>
      <c r="V154" s="169"/>
      <c r="W154" s="169"/>
      <c r="X154" s="169"/>
      <c r="Y154" s="169"/>
      <c r="Z154" s="169"/>
      <c r="AA154" s="169"/>
      <c r="AB154" s="169"/>
      <c r="AC154" s="169"/>
      <c r="AD154" s="169"/>
      <c r="AE154" s="169"/>
      <c r="AF154" s="169"/>
      <c r="AG154" s="169"/>
      <c r="AH154" s="169"/>
    </row>
    <row r="155" ht="15.75" customHeight="1">
      <c r="A155" s="169"/>
      <c r="B155" s="38" t="s">
        <v>118</v>
      </c>
      <c r="C155" s="191" t="s">
        <v>3239</v>
      </c>
      <c r="D155" s="40" t="s">
        <v>812</v>
      </c>
      <c r="E155" s="40" t="s">
        <v>3231</v>
      </c>
      <c r="F155" s="40" t="s">
        <v>623</v>
      </c>
      <c r="G155" s="39" t="s">
        <v>192</v>
      </c>
      <c r="H155" s="42" t="s">
        <v>3238</v>
      </c>
      <c r="I155" s="188">
        <v>44404.0</v>
      </c>
      <c r="J155" s="188">
        <v>44469.0</v>
      </c>
      <c r="K155" s="189">
        <v>201.0</v>
      </c>
      <c r="L155" s="19"/>
      <c r="M155" s="192" t="s">
        <v>2893</v>
      </c>
      <c r="N155" s="42"/>
      <c r="O155" s="169"/>
      <c r="P155" s="169"/>
      <c r="Q155" s="169"/>
      <c r="R155" s="169"/>
      <c r="S155" s="169"/>
      <c r="T155" s="169"/>
      <c r="U155" s="169"/>
      <c r="V155" s="169"/>
      <c r="W155" s="169"/>
      <c r="X155" s="169"/>
      <c r="Y155" s="169"/>
      <c r="Z155" s="169"/>
      <c r="AA155" s="169"/>
      <c r="AB155" s="169"/>
      <c r="AC155" s="169"/>
      <c r="AD155" s="169"/>
      <c r="AE155" s="169"/>
      <c r="AF155" s="169"/>
      <c r="AG155" s="169"/>
      <c r="AH155" s="169"/>
    </row>
    <row r="156" ht="15.75" customHeight="1">
      <c r="A156" s="169"/>
      <c r="B156" s="38" t="s">
        <v>118</v>
      </c>
      <c r="C156" s="191" t="s">
        <v>3240</v>
      </c>
      <c r="D156" s="40" t="s">
        <v>812</v>
      </c>
      <c r="E156" s="40" t="s">
        <v>3231</v>
      </c>
      <c r="F156" s="40" t="s">
        <v>623</v>
      </c>
      <c r="G156" s="39" t="s">
        <v>192</v>
      </c>
      <c r="H156" s="42" t="s">
        <v>3241</v>
      </c>
      <c r="I156" s="188">
        <v>44404.0</v>
      </c>
      <c r="J156" s="188">
        <v>44469.0</v>
      </c>
      <c r="K156" s="189">
        <v>339.0</v>
      </c>
      <c r="L156" s="19"/>
      <c r="M156" s="192" t="s">
        <v>3242</v>
      </c>
      <c r="N156" s="42" t="s">
        <v>3241</v>
      </c>
      <c r="O156" s="169"/>
      <c r="P156" s="169"/>
      <c r="Q156" s="169"/>
      <c r="R156" s="169"/>
      <c r="S156" s="169"/>
      <c r="T156" s="169"/>
      <c r="U156" s="169"/>
      <c r="V156" s="169"/>
      <c r="W156" s="169"/>
      <c r="X156" s="169"/>
      <c r="Y156" s="169"/>
      <c r="Z156" s="169"/>
      <c r="AA156" s="169"/>
      <c r="AB156" s="169"/>
      <c r="AC156" s="169"/>
      <c r="AD156" s="169"/>
      <c r="AE156" s="169"/>
      <c r="AF156" s="169"/>
      <c r="AG156" s="169"/>
      <c r="AH156" s="169"/>
    </row>
    <row r="157" ht="15.75" customHeight="1">
      <c r="A157" s="169"/>
      <c r="B157" s="38" t="s">
        <v>118</v>
      </c>
      <c r="C157" s="191" t="s">
        <v>3243</v>
      </c>
      <c r="D157" s="40" t="s">
        <v>719</v>
      </c>
      <c r="E157" s="40" t="s">
        <v>3231</v>
      </c>
      <c r="F157" s="40" t="s">
        <v>623</v>
      </c>
      <c r="G157" s="39" t="s">
        <v>18</v>
      </c>
      <c r="H157" s="119" t="s">
        <v>3244</v>
      </c>
      <c r="I157" s="188">
        <v>44404.0</v>
      </c>
      <c r="J157" s="188">
        <v>44469.0</v>
      </c>
      <c r="K157" s="189">
        <v>243.0</v>
      </c>
      <c r="L157" s="19"/>
      <c r="M157" s="192" t="s">
        <v>3245</v>
      </c>
      <c r="N157" s="42" t="s">
        <v>3244</v>
      </c>
      <c r="O157" s="169"/>
      <c r="P157" s="169"/>
      <c r="Q157" s="169"/>
      <c r="R157" s="169"/>
      <c r="S157" s="169"/>
      <c r="T157" s="169"/>
      <c r="U157" s="169"/>
      <c r="V157" s="169"/>
      <c r="W157" s="169"/>
      <c r="X157" s="169"/>
      <c r="Y157" s="169"/>
      <c r="Z157" s="169"/>
      <c r="AA157" s="169"/>
      <c r="AB157" s="169"/>
      <c r="AC157" s="169"/>
      <c r="AD157" s="169"/>
      <c r="AE157" s="169"/>
      <c r="AF157" s="169"/>
      <c r="AG157" s="169"/>
      <c r="AH157" s="169"/>
    </row>
    <row r="158" ht="15.75" customHeight="1">
      <c r="A158" s="169"/>
      <c r="B158" s="38" t="s">
        <v>118</v>
      </c>
      <c r="C158" s="191" t="s">
        <v>3246</v>
      </c>
      <c r="D158" s="40" t="s">
        <v>719</v>
      </c>
      <c r="E158" s="40" t="s">
        <v>3231</v>
      </c>
      <c r="F158" s="40" t="s">
        <v>623</v>
      </c>
      <c r="G158" s="39" t="s">
        <v>18</v>
      </c>
      <c r="H158" s="119" t="s">
        <v>3247</v>
      </c>
      <c r="I158" s="188">
        <v>44404.0</v>
      </c>
      <c r="J158" s="188">
        <v>44469.0</v>
      </c>
      <c r="K158" s="189">
        <v>243.0</v>
      </c>
      <c r="L158" s="19"/>
      <c r="M158" s="192" t="s">
        <v>3248</v>
      </c>
      <c r="N158" s="42" t="s">
        <v>3249</v>
      </c>
      <c r="O158" s="169"/>
      <c r="P158" s="169"/>
      <c r="Q158" s="169"/>
      <c r="R158" s="169"/>
      <c r="S158" s="169"/>
      <c r="T158" s="169"/>
      <c r="U158" s="169"/>
      <c r="V158" s="169"/>
      <c r="W158" s="169"/>
      <c r="X158" s="169"/>
      <c r="Y158" s="169"/>
      <c r="Z158" s="169"/>
      <c r="AA158" s="169"/>
      <c r="AB158" s="169"/>
      <c r="AC158" s="169"/>
      <c r="AD158" s="169"/>
      <c r="AE158" s="169"/>
      <c r="AF158" s="169"/>
      <c r="AG158" s="169"/>
      <c r="AH158" s="169"/>
    </row>
    <row r="159" ht="15.75" customHeight="1">
      <c r="A159" s="169"/>
      <c r="B159" s="38" t="s">
        <v>118</v>
      </c>
      <c r="C159" s="191" t="s">
        <v>3250</v>
      </c>
      <c r="D159" s="40" t="s">
        <v>719</v>
      </c>
      <c r="E159" s="40" t="s">
        <v>3231</v>
      </c>
      <c r="F159" s="40" t="s">
        <v>623</v>
      </c>
      <c r="G159" s="39" t="s">
        <v>18</v>
      </c>
      <c r="H159" s="42" t="s">
        <v>3249</v>
      </c>
      <c r="I159" s="188">
        <v>44404.0</v>
      </c>
      <c r="J159" s="188">
        <v>44469.0</v>
      </c>
      <c r="K159" s="189">
        <v>243.0</v>
      </c>
      <c r="L159" s="19"/>
      <c r="M159" s="192" t="s">
        <v>2893</v>
      </c>
      <c r="N159" s="193"/>
      <c r="O159" s="169"/>
      <c r="P159" s="169"/>
      <c r="Q159" s="169"/>
      <c r="R159" s="169"/>
      <c r="S159" s="169"/>
      <c r="T159" s="169"/>
      <c r="U159" s="169"/>
      <c r="V159" s="169"/>
      <c r="W159" s="169"/>
      <c r="X159" s="169"/>
      <c r="Y159" s="169"/>
      <c r="Z159" s="169"/>
      <c r="AA159" s="169"/>
      <c r="AB159" s="169"/>
      <c r="AC159" s="169"/>
      <c r="AD159" s="169"/>
      <c r="AE159" s="169"/>
      <c r="AF159" s="169"/>
      <c r="AG159" s="169"/>
      <c r="AH159" s="169"/>
    </row>
    <row r="160" ht="15.75" customHeight="1">
      <c r="A160" s="169"/>
      <c r="B160" s="38" t="s">
        <v>118</v>
      </c>
      <c r="C160" s="191" t="s">
        <v>3251</v>
      </c>
      <c r="D160" s="40" t="s">
        <v>719</v>
      </c>
      <c r="E160" s="40" t="s">
        <v>3231</v>
      </c>
      <c r="F160" s="40" t="s">
        <v>623</v>
      </c>
      <c r="G160" s="39" t="s">
        <v>18</v>
      </c>
      <c r="H160" s="119" t="s">
        <v>3252</v>
      </c>
      <c r="I160" s="188">
        <v>44404.0</v>
      </c>
      <c r="J160" s="188">
        <v>44469.0</v>
      </c>
      <c r="K160" s="189">
        <v>243.0</v>
      </c>
      <c r="L160" s="19"/>
      <c r="M160" s="192" t="s">
        <v>2893</v>
      </c>
      <c r="N160" s="194"/>
      <c r="O160" s="169"/>
      <c r="P160" s="169"/>
      <c r="Q160" s="169"/>
      <c r="R160" s="169"/>
      <c r="S160" s="169"/>
      <c r="T160" s="169"/>
      <c r="U160" s="169"/>
      <c r="V160" s="169"/>
      <c r="W160" s="169"/>
      <c r="X160" s="169"/>
      <c r="Y160" s="169"/>
      <c r="Z160" s="169"/>
      <c r="AA160" s="169"/>
      <c r="AB160" s="169"/>
      <c r="AC160" s="169"/>
      <c r="AD160" s="169"/>
      <c r="AE160" s="169"/>
      <c r="AF160" s="169"/>
      <c r="AG160" s="169"/>
      <c r="AH160" s="169"/>
    </row>
    <row r="161" ht="15.75" customHeight="1">
      <c r="A161" s="169"/>
      <c r="B161" s="38" t="s">
        <v>118</v>
      </c>
      <c r="C161" s="191" t="s">
        <v>3253</v>
      </c>
      <c r="D161" s="40" t="s">
        <v>719</v>
      </c>
      <c r="E161" s="40" t="s">
        <v>3231</v>
      </c>
      <c r="F161" s="40" t="s">
        <v>623</v>
      </c>
      <c r="G161" s="39" t="s">
        <v>18</v>
      </c>
      <c r="H161" s="119" t="s">
        <v>3252</v>
      </c>
      <c r="I161" s="188">
        <v>44404.0</v>
      </c>
      <c r="J161" s="188">
        <v>44469.0</v>
      </c>
      <c r="K161" s="189">
        <v>355.0</v>
      </c>
      <c r="L161" s="19"/>
      <c r="M161" s="192" t="s">
        <v>896</v>
      </c>
      <c r="N161" s="119" t="s">
        <v>899</v>
      </c>
      <c r="O161" s="169"/>
      <c r="P161" s="169"/>
      <c r="Q161" s="169"/>
      <c r="R161" s="169"/>
      <c r="S161" s="169"/>
      <c r="T161" s="169"/>
      <c r="U161" s="169"/>
      <c r="V161" s="169"/>
      <c r="W161" s="169"/>
      <c r="X161" s="169"/>
      <c r="Y161" s="169"/>
      <c r="Z161" s="169"/>
      <c r="AA161" s="169"/>
      <c r="AB161" s="169"/>
      <c r="AC161" s="169"/>
      <c r="AD161" s="169"/>
      <c r="AE161" s="169"/>
      <c r="AF161" s="169"/>
      <c r="AG161" s="169"/>
      <c r="AH161" s="169"/>
    </row>
    <row r="162" ht="15.75" customHeight="1">
      <c r="A162" s="169"/>
      <c r="B162" s="38" t="s">
        <v>118</v>
      </c>
      <c r="C162" s="191" t="s">
        <v>3254</v>
      </c>
      <c r="D162" s="40" t="s">
        <v>830</v>
      </c>
      <c r="E162" s="40" t="s">
        <v>3231</v>
      </c>
      <c r="F162" s="40" t="s">
        <v>623</v>
      </c>
      <c r="G162" s="39" t="s">
        <v>184</v>
      </c>
      <c r="H162" s="42" t="s">
        <v>3255</v>
      </c>
      <c r="I162" s="188">
        <v>44404.0</v>
      </c>
      <c r="J162" s="188">
        <v>44469.0</v>
      </c>
      <c r="K162" s="189">
        <v>239.0</v>
      </c>
      <c r="L162" s="19"/>
      <c r="M162" s="192" t="s">
        <v>3256</v>
      </c>
      <c r="N162" s="119" t="s">
        <v>3255</v>
      </c>
      <c r="O162" s="169"/>
      <c r="P162" s="169"/>
      <c r="Q162" s="169"/>
      <c r="R162" s="169"/>
      <c r="S162" s="169"/>
      <c r="T162" s="169"/>
      <c r="U162" s="169"/>
      <c r="V162" s="169"/>
      <c r="W162" s="169"/>
      <c r="X162" s="169"/>
      <c r="Y162" s="169"/>
      <c r="Z162" s="169"/>
      <c r="AA162" s="169"/>
      <c r="AB162" s="169"/>
      <c r="AC162" s="169"/>
      <c r="AD162" s="169"/>
      <c r="AE162" s="169"/>
      <c r="AF162" s="169"/>
      <c r="AG162" s="169"/>
      <c r="AH162" s="169"/>
    </row>
    <row r="163" ht="15.75" customHeight="1">
      <c r="A163" s="169"/>
      <c r="B163" s="38" t="s">
        <v>118</v>
      </c>
      <c r="C163" s="191" t="s">
        <v>3257</v>
      </c>
      <c r="D163" s="40" t="s">
        <v>830</v>
      </c>
      <c r="E163" s="40" t="s">
        <v>3231</v>
      </c>
      <c r="F163" s="40" t="s">
        <v>623</v>
      </c>
      <c r="G163" s="39" t="s">
        <v>184</v>
      </c>
      <c r="H163" s="42" t="s">
        <v>3258</v>
      </c>
      <c r="I163" s="188">
        <v>44404.0</v>
      </c>
      <c r="J163" s="188">
        <v>44469.0</v>
      </c>
      <c r="K163" s="189">
        <v>239.0</v>
      </c>
      <c r="L163" s="19"/>
      <c r="M163" s="192" t="s">
        <v>3259</v>
      </c>
      <c r="N163" s="119" t="s">
        <v>3258</v>
      </c>
      <c r="O163" s="169"/>
      <c r="P163" s="169"/>
      <c r="Q163" s="169"/>
      <c r="R163" s="169"/>
      <c r="S163" s="169"/>
      <c r="T163" s="169"/>
      <c r="U163" s="169"/>
      <c r="V163" s="169"/>
      <c r="W163" s="169"/>
      <c r="X163" s="169"/>
      <c r="Y163" s="169"/>
      <c r="Z163" s="169"/>
      <c r="AA163" s="169"/>
      <c r="AB163" s="169"/>
      <c r="AC163" s="169"/>
      <c r="AD163" s="169"/>
      <c r="AE163" s="169"/>
      <c r="AF163" s="169"/>
      <c r="AG163" s="169"/>
      <c r="AH163" s="169"/>
    </row>
    <row r="164" ht="15.75" customHeight="1">
      <c r="A164" s="169"/>
      <c r="B164" s="38" t="s">
        <v>118</v>
      </c>
      <c r="C164" s="191" t="s">
        <v>3260</v>
      </c>
      <c r="D164" s="40" t="s">
        <v>830</v>
      </c>
      <c r="E164" s="40" t="s">
        <v>3231</v>
      </c>
      <c r="F164" s="40" t="s">
        <v>623</v>
      </c>
      <c r="G164" s="39" t="s">
        <v>184</v>
      </c>
      <c r="H164" s="42" t="s">
        <v>3261</v>
      </c>
      <c r="I164" s="188">
        <v>44404.0</v>
      </c>
      <c r="J164" s="188">
        <v>44469.0</v>
      </c>
      <c r="K164" s="189">
        <v>239.0</v>
      </c>
      <c r="L164" s="19"/>
      <c r="M164" s="192" t="s">
        <v>2893</v>
      </c>
      <c r="N164" s="193"/>
      <c r="O164" s="169"/>
      <c r="P164" s="169"/>
      <c r="Q164" s="169"/>
      <c r="R164" s="169"/>
      <c r="S164" s="169"/>
      <c r="T164" s="169"/>
      <c r="U164" s="169"/>
      <c r="V164" s="169"/>
      <c r="W164" s="169"/>
      <c r="X164" s="169"/>
      <c r="Y164" s="169"/>
      <c r="Z164" s="169"/>
      <c r="AA164" s="169"/>
      <c r="AB164" s="169"/>
      <c r="AC164" s="169"/>
      <c r="AD164" s="169"/>
      <c r="AE164" s="169"/>
      <c r="AF164" s="169"/>
      <c r="AG164" s="169"/>
      <c r="AH164" s="169"/>
    </row>
    <row r="165" ht="15.75" customHeight="1">
      <c r="A165" s="169"/>
      <c r="B165" s="38" t="s">
        <v>118</v>
      </c>
      <c r="C165" s="191" t="s">
        <v>3262</v>
      </c>
      <c r="D165" s="40" t="s">
        <v>830</v>
      </c>
      <c r="E165" s="40" t="s">
        <v>3231</v>
      </c>
      <c r="F165" s="40" t="s">
        <v>623</v>
      </c>
      <c r="G165" s="39" t="s">
        <v>184</v>
      </c>
      <c r="H165" s="42" t="s">
        <v>3261</v>
      </c>
      <c r="I165" s="188">
        <v>44404.0</v>
      </c>
      <c r="J165" s="188">
        <v>44469.0</v>
      </c>
      <c r="K165" s="189">
        <v>239.0</v>
      </c>
      <c r="L165" s="19"/>
      <c r="M165" s="192" t="s">
        <v>2893</v>
      </c>
      <c r="N165" s="193"/>
      <c r="O165" s="169"/>
      <c r="P165" s="169"/>
      <c r="Q165" s="169"/>
      <c r="R165" s="169"/>
      <c r="S165" s="169"/>
      <c r="T165" s="169"/>
      <c r="U165" s="169"/>
      <c r="V165" s="169"/>
      <c r="W165" s="169"/>
      <c r="X165" s="169"/>
      <c r="Y165" s="169"/>
      <c r="Z165" s="169"/>
      <c r="AA165" s="169"/>
      <c r="AB165" s="169"/>
      <c r="AC165" s="169"/>
      <c r="AD165" s="169"/>
      <c r="AE165" s="169"/>
      <c r="AF165" s="169"/>
      <c r="AG165" s="169"/>
      <c r="AH165" s="169"/>
    </row>
    <row r="166" ht="15.75" customHeight="1">
      <c r="A166" s="169"/>
      <c r="B166" s="38" t="s">
        <v>118</v>
      </c>
      <c r="C166" s="191" t="s">
        <v>3263</v>
      </c>
      <c r="D166" s="40" t="s">
        <v>830</v>
      </c>
      <c r="E166" s="40" t="s">
        <v>3231</v>
      </c>
      <c r="F166" s="40" t="s">
        <v>623</v>
      </c>
      <c r="G166" s="39" t="s">
        <v>184</v>
      </c>
      <c r="H166" s="42" t="s">
        <v>3264</v>
      </c>
      <c r="I166" s="188">
        <v>44404.0</v>
      </c>
      <c r="J166" s="188">
        <v>44469.0</v>
      </c>
      <c r="K166" s="189">
        <v>362.0</v>
      </c>
      <c r="L166" s="19"/>
      <c r="M166" s="192" t="s">
        <v>3265</v>
      </c>
      <c r="N166" s="42" t="s">
        <v>3264</v>
      </c>
      <c r="O166" s="169"/>
      <c r="P166" s="169"/>
      <c r="Q166" s="169"/>
      <c r="R166" s="169"/>
      <c r="S166" s="169"/>
      <c r="T166" s="169"/>
      <c r="U166" s="169"/>
      <c r="V166" s="169"/>
      <c r="W166" s="169"/>
      <c r="X166" s="169"/>
      <c r="Y166" s="169"/>
      <c r="Z166" s="169"/>
      <c r="AA166" s="169"/>
      <c r="AB166" s="169"/>
      <c r="AC166" s="169"/>
      <c r="AD166" s="169"/>
      <c r="AE166" s="169"/>
      <c r="AF166" s="169"/>
      <c r="AG166" s="169"/>
      <c r="AH166" s="169"/>
    </row>
    <row r="167" ht="15.75" customHeight="1">
      <c r="A167" s="169"/>
      <c r="B167" s="38" t="s">
        <v>1031</v>
      </c>
      <c r="C167" s="191" t="s">
        <v>3266</v>
      </c>
      <c r="D167" s="40" t="s">
        <v>1117</v>
      </c>
      <c r="E167" s="40" t="s">
        <v>3231</v>
      </c>
      <c r="F167" s="40" t="s">
        <v>1051</v>
      </c>
      <c r="G167" s="39" t="s">
        <v>1035</v>
      </c>
      <c r="H167" s="42" t="s">
        <v>3267</v>
      </c>
      <c r="I167" s="188">
        <v>44500.0</v>
      </c>
      <c r="J167" s="188">
        <v>44565.0</v>
      </c>
      <c r="K167" s="189">
        <v>740.0</v>
      </c>
      <c r="L167" s="19"/>
      <c r="M167" s="192" t="s">
        <v>2893</v>
      </c>
      <c r="N167" s="193"/>
      <c r="O167" s="169"/>
      <c r="P167" s="169"/>
      <c r="Q167" s="169"/>
      <c r="R167" s="169"/>
      <c r="S167" s="169"/>
      <c r="T167" s="169"/>
      <c r="U167" s="169"/>
      <c r="V167" s="169"/>
      <c r="W167" s="169"/>
      <c r="X167" s="169"/>
      <c r="Y167" s="169"/>
      <c r="Z167" s="169"/>
      <c r="AA167" s="169"/>
      <c r="AB167" s="169"/>
      <c r="AC167" s="169"/>
      <c r="AD167" s="169"/>
      <c r="AE167" s="169"/>
      <c r="AF167" s="169"/>
      <c r="AG167" s="169"/>
      <c r="AH167" s="169"/>
    </row>
    <row r="168" ht="15.75" customHeight="1">
      <c r="A168" s="169"/>
      <c r="B168" s="38" t="s">
        <v>1031</v>
      </c>
      <c r="C168" s="191" t="s">
        <v>3268</v>
      </c>
      <c r="D168" s="40" t="s">
        <v>3269</v>
      </c>
      <c r="E168" s="40" t="s">
        <v>3231</v>
      </c>
      <c r="F168" s="40" t="s">
        <v>1051</v>
      </c>
      <c r="G168" s="39" t="s">
        <v>1035</v>
      </c>
      <c r="H168" s="42" t="s">
        <v>3270</v>
      </c>
      <c r="I168" s="188">
        <v>44500.0</v>
      </c>
      <c r="J168" s="188">
        <v>44565.0</v>
      </c>
      <c r="K168" s="189">
        <v>898.0</v>
      </c>
      <c r="L168" s="19"/>
      <c r="M168" s="192" t="s">
        <v>2893</v>
      </c>
      <c r="N168" s="193"/>
      <c r="O168" s="169"/>
      <c r="P168" s="169"/>
      <c r="Q168" s="169"/>
      <c r="R168" s="169"/>
      <c r="S168" s="169"/>
      <c r="T168" s="169"/>
      <c r="U168" s="169"/>
      <c r="V168" s="169"/>
      <c r="W168" s="169"/>
      <c r="X168" s="169"/>
      <c r="Y168" s="169"/>
      <c r="Z168" s="169"/>
      <c r="AA168" s="169"/>
      <c r="AB168" s="169"/>
      <c r="AC168" s="169"/>
      <c r="AD168" s="169"/>
      <c r="AE168" s="169"/>
      <c r="AF168" s="169"/>
      <c r="AG168" s="169"/>
      <c r="AH168" s="169"/>
    </row>
    <row r="169" ht="15.75" customHeight="1">
      <c r="A169" s="169"/>
      <c r="B169" s="38" t="s">
        <v>1031</v>
      </c>
      <c r="C169" s="191" t="s">
        <v>3271</v>
      </c>
      <c r="D169" s="40" t="s">
        <v>1120</v>
      </c>
      <c r="E169" s="40" t="s">
        <v>3231</v>
      </c>
      <c r="F169" s="40" t="s">
        <v>1051</v>
      </c>
      <c r="G169" s="39" t="s">
        <v>1035</v>
      </c>
      <c r="H169" s="42" t="s">
        <v>3272</v>
      </c>
      <c r="I169" s="188">
        <v>44500.0</v>
      </c>
      <c r="J169" s="188">
        <v>44565.0</v>
      </c>
      <c r="K169" s="189">
        <v>972.0</v>
      </c>
      <c r="L169" s="19"/>
      <c r="M169" s="192" t="s">
        <v>2893</v>
      </c>
      <c r="N169" s="193"/>
      <c r="O169" s="169"/>
      <c r="P169" s="169"/>
      <c r="Q169" s="169"/>
      <c r="R169" s="169"/>
      <c r="S169" s="169"/>
      <c r="T169" s="169"/>
      <c r="U169" s="169"/>
      <c r="V169" s="169"/>
      <c r="W169" s="169"/>
      <c r="X169" s="169"/>
      <c r="Y169" s="169"/>
      <c r="Z169" s="169"/>
      <c r="AA169" s="169"/>
      <c r="AB169" s="169"/>
      <c r="AC169" s="169"/>
      <c r="AD169" s="169"/>
      <c r="AE169" s="169"/>
      <c r="AF169" s="169"/>
      <c r="AG169" s="169"/>
      <c r="AH169" s="169"/>
    </row>
    <row r="170" ht="15.75" customHeight="1">
      <c r="A170" s="169"/>
      <c r="B170" s="38" t="s">
        <v>1031</v>
      </c>
      <c r="C170" s="191" t="s">
        <v>3273</v>
      </c>
      <c r="D170" s="40" t="s">
        <v>3274</v>
      </c>
      <c r="E170" s="40" t="s">
        <v>3231</v>
      </c>
      <c r="F170" s="40" t="s">
        <v>1051</v>
      </c>
      <c r="G170" s="39" t="s">
        <v>1035</v>
      </c>
      <c r="H170" s="42" t="s">
        <v>3275</v>
      </c>
      <c r="I170" s="188">
        <v>44500.0</v>
      </c>
      <c r="J170" s="188">
        <v>44565.0</v>
      </c>
      <c r="K170" s="189">
        <v>1186.0</v>
      </c>
      <c r="L170" s="19"/>
      <c r="M170" s="192" t="s">
        <v>2893</v>
      </c>
      <c r="N170" s="193"/>
      <c r="O170" s="169"/>
      <c r="P170" s="169"/>
      <c r="Q170" s="169"/>
      <c r="R170" s="169"/>
      <c r="S170" s="169"/>
      <c r="T170" s="169"/>
      <c r="U170" s="169"/>
      <c r="V170" s="169"/>
      <c r="W170" s="169"/>
      <c r="X170" s="169"/>
      <c r="Y170" s="169"/>
      <c r="Z170" s="169"/>
      <c r="AA170" s="169"/>
      <c r="AB170" s="169"/>
      <c r="AC170" s="169"/>
      <c r="AD170" s="169"/>
      <c r="AE170" s="169"/>
      <c r="AF170" s="169"/>
      <c r="AG170" s="169"/>
      <c r="AH170" s="169"/>
    </row>
    <row r="171" ht="15.75" customHeight="1">
      <c r="A171" s="169"/>
      <c r="B171" s="38" t="s">
        <v>1031</v>
      </c>
      <c r="C171" s="191" t="s">
        <v>3276</v>
      </c>
      <c r="D171" s="40" t="s">
        <v>1105</v>
      </c>
      <c r="E171" s="40" t="s">
        <v>3231</v>
      </c>
      <c r="F171" s="40" t="s">
        <v>1034</v>
      </c>
      <c r="G171" s="39" t="s">
        <v>1035</v>
      </c>
      <c r="H171" s="42" t="s">
        <v>3277</v>
      </c>
      <c r="I171" s="188">
        <v>44646.0</v>
      </c>
      <c r="J171" s="188">
        <v>44711.0</v>
      </c>
      <c r="K171" s="189">
        <v>310.0</v>
      </c>
      <c r="L171" s="19"/>
      <c r="M171" s="192" t="s">
        <v>2893</v>
      </c>
      <c r="N171" s="193"/>
      <c r="O171" s="169"/>
      <c r="P171" s="169"/>
      <c r="Q171" s="169"/>
      <c r="R171" s="169"/>
      <c r="S171" s="169"/>
      <c r="T171" s="169"/>
      <c r="U171" s="169"/>
      <c r="V171" s="169"/>
      <c r="W171" s="169"/>
      <c r="X171" s="169"/>
      <c r="Y171" s="169"/>
      <c r="Z171" s="169"/>
      <c r="AA171" s="169"/>
      <c r="AB171" s="169"/>
      <c r="AC171" s="169"/>
      <c r="AD171" s="169"/>
      <c r="AE171" s="169"/>
      <c r="AF171" s="169"/>
      <c r="AG171" s="169"/>
      <c r="AH171" s="169"/>
    </row>
    <row r="172" ht="15.75" customHeight="1">
      <c r="A172" s="169"/>
      <c r="B172" s="38" t="s">
        <v>1031</v>
      </c>
      <c r="C172" s="191" t="s">
        <v>3278</v>
      </c>
      <c r="D172" s="40" t="s">
        <v>3279</v>
      </c>
      <c r="E172" s="40" t="s">
        <v>3231</v>
      </c>
      <c r="F172" s="40" t="s">
        <v>1034</v>
      </c>
      <c r="G172" s="39" t="s">
        <v>1035</v>
      </c>
      <c r="H172" s="42" t="s">
        <v>3280</v>
      </c>
      <c r="I172" s="188">
        <v>44646.0</v>
      </c>
      <c r="J172" s="188">
        <v>44711.0</v>
      </c>
      <c r="K172" s="189">
        <v>433.0</v>
      </c>
      <c r="L172" s="19"/>
      <c r="M172" s="192" t="s">
        <v>2893</v>
      </c>
      <c r="N172" s="193"/>
      <c r="O172" s="169"/>
      <c r="P172" s="169"/>
      <c r="Q172" s="169"/>
      <c r="R172" s="169"/>
      <c r="S172" s="169"/>
      <c r="T172" s="169"/>
      <c r="U172" s="169"/>
      <c r="V172" s="169"/>
      <c r="W172" s="169"/>
      <c r="X172" s="169"/>
      <c r="Y172" s="169"/>
      <c r="Z172" s="169"/>
      <c r="AA172" s="169"/>
      <c r="AB172" s="169"/>
      <c r="AC172" s="169"/>
      <c r="AD172" s="169"/>
      <c r="AE172" s="169"/>
      <c r="AF172" s="169"/>
      <c r="AG172" s="169"/>
      <c r="AH172" s="169"/>
    </row>
    <row r="173" ht="15.75" customHeight="1">
      <c r="A173" s="169"/>
      <c r="B173" s="38" t="s">
        <v>1031</v>
      </c>
      <c r="C173" s="191" t="s">
        <v>3281</v>
      </c>
      <c r="D173" s="40" t="s">
        <v>3282</v>
      </c>
      <c r="E173" s="40" t="s">
        <v>3231</v>
      </c>
      <c r="F173" s="40" t="s">
        <v>1034</v>
      </c>
      <c r="G173" s="39" t="s">
        <v>1035</v>
      </c>
      <c r="H173" s="42" t="s">
        <v>3283</v>
      </c>
      <c r="I173" s="188">
        <v>44646.0</v>
      </c>
      <c r="J173" s="188">
        <v>44711.0</v>
      </c>
      <c r="K173" s="189">
        <v>468.0</v>
      </c>
      <c r="L173" s="19"/>
      <c r="M173" s="192" t="s">
        <v>2893</v>
      </c>
      <c r="N173" s="193"/>
      <c r="O173" s="169"/>
      <c r="P173" s="169"/>
      <c r="Q173" s="169"/>
      <c r="R173" s="169"/>
      <c r="S173" s="169"/>
      <c r="T173" s="169"/>
      <c r="U173" s="169"/>
      <c r="V173" s="169"/>
      <c r="W173" s="169"/>
      <c r="X173" s="169"/>
      <c r="Y173" s="169"/>
      <c r="Z173" s="169"/>
      <c r="AA173" s="169"/>
      <c r="AB173" s="169"/>
      <c r="AC173" s="169"/>
      <c r="AD173" s="169"/>
      <c r="AE173" s="169"/>
      <c r="AF173" s="169"/>
      <c r="AG173" s="169"/>
      <c r="AH173" s="169"/>
    </row>
    <row r="174" ht="15.75" customHeight="1">
      <c r="A174" s="169"/>
      <c r="B174" s="38" t="s">
        <v>1031</v>
      </c>
      <c r="C174" s="191" t="s">
        <v>3284</v>
      </c>
      <c r="D174" s="40" t="s">
        <v>1108</v>
      </c>
      <c r="E174" s="40" t="s">
        <v>3231</v>
      </c>
      <c r="F174" s="40" t="s">
        <v>1034</v>
      </c>
      <c r="G174" s="39" t="s">
        <v>1035</v>
      </c>
      <c r="H174" s="42" t="s">
        <v>3285</v>
      </c>
      <c r="I174" s="188">
        <v>44646.0</v>
      </c>
      <c r="J174" s="188">
        <v>44711.0</v>
      </c>
      <c r="K174" s="189">
        <v>542.0</v>
      </c>
      <c r="L174" s="19"/>
      <c r="M174" s="192" t="s">
        <v>2893</v>
      </c>
      <c r="N174" s="193"/>
      <c r="O174" s="169"/>
      <c r="P174" s="169"/>
      <c r="Q174" s="169"/>
      <c r="R174" s="169"/>
      <c r="S174" s="169"/>
      <c r="T174" s="169"/>
      <c r="U174" s="169"/>
      <c r="V174" s="169"/>
      <c r="W174" s="169"/>
      <c r="X174" s="169"/>
      <c r="Y174" s="169"/>
      <c r="Z174" s="169"/>
      <c r="AA174" s="169"/>
      <c r="AB174" s="169"/>
      <c r="AC174" s="169"/>
      <c r="AD174" s="169"/>
      <c r="AE174" s="169"/>
      <c r="AF174" s="169"/>
      <c r="AG174" s="169"/>
      <c r="AH174" s="169"/>
    </row>
    <row r="175" ht="15.75" customHeight="1">
      <c r="A175" s="169"/>
      <c r="B175" s="38" t="s">
        <v>1031</v>
      </c>
      <c r="C175" s="191" t="s">
        <v>3286</v>
      </c>
      <c r="D175" s="40" t="s">
        <v>1111</v>
      </c>
      <c r="E175" s="40" t="s">
        <v>3231</v>
      </c>
      <c r="F175" s="40" t="s">
        <v>1083</v>
      </c>
      <c r="G175" s="39" t="s">
        <v>1035</v>
      </c>
      <c r="H175" s="42" t="s">
        <v>3287</v>
      </c>
      <c r="I175" s="188">
        <v>44500.0</v>
      </c>
      <c r="J175" s="188">
        <v>44565.0</v>
      </c>
      <c r="K175" s="189">
        <v>490.0</v>
      </c>
      <c r="L175" s="19"/>
      <c r="M175" s="192" t="s">
        <v>2893</v>
      </c>
      <c r="N175" s="193"/>
      <c r="O175" s="169"/>
      <c r="P175" s="169"/>
      <c r="Q175" s="169"/>
      <c r="R175" s="169"/>
      <c r="S175" s="169"/>
      <c r="T175" s="169"/>
      <c r="U175" s="169"/>
      <c r="V175" s="169"/>
      <c r="W175" s="169"/>
      <c r="X175" s="169"/>
      <c r="Y175" s="169"/>
      <c r="Z175" s="169"/>
      <c r="AA175" s="169"/>
      <c r="AB175" s="169"/>
      <c r="AC175" s="169"/>
      <c r="AD175" s="169"/>
      <c r="AE175" s="169"/>
      <c r="AF175" s="169"/>
      <c r="AG175" s="169"/>
      <c r="AH175" s="169"/>
    </row>
    <row r="176" ht="15.75" customHeight="1">
      <c r="A176" s="169"/>
      <c r="B176" s="38" t="s">
        <v>1031</v>
      </c>
      <c r="C176" s="191" t="s">
        <v>3288</v>
      </c>
      <c r="D176" s="40" t="s">
        <v>3289</v>
      </c>
      <c r="E176" s="40" t="s">
        <v>3231</v>
      </c>
      <c r="F176" s="40" t="s">
        <v>1083</v>
      </c>
      <c r="G176" s="39" t="s">
        <v>1035</v>
      </c>
      <c r="H176" s="42" t="s">
        <v>3290</v>
      </c>
      <c r="I176" s="188">
        <v>44500.0</v>
      </c>
      <c r="J176" s="188">
        <v>44565.0</v>
      </c>
      <c r="K176" s="189">
        <v>613.0</v>
      </c>
      <c r="L176" s="19"/>
      <c r="M176" s="192" t="s">
        <v>2893</v>
      </c>
      <c r="N176" s="193"/>
      <c r="O176" s="169"/>
      <c r="P176" s="169"/>
      <c r="Q176" s="169"/>
      <c r="R176" s="169"/>
      <c r="S176" s="169"/>
      <c r="T176" s="169"/>
      <c r="U176" s="169"/>
      <c r="V176" s="169"/>
      <c r="W176" s="169"/>
      <c r="X176" s="169"/>
      <c r="Y176" s="169"/>
      <c r="Z176" s="169"/>
      <c r="AA176" s="169"/>
      <c r="AB176" s="169"/>
      <c r="AC176" s="169"/>
      <c r="AD176" s="169"/>
      <c r="AE176" s="169"/>
      <c r="AF176" s="169"/>
      <c r="AG176" s="169"/>
      <c r="AH176" s="169"/>
    </row>
    <row r="177" ht="15.75" customHeight="1">
      <c r="A177" s="169"/>
      <c r="B177" s="38" t="s">
        <v>1031</v>
      </c>
      <c r="C177" s="191" t="s">
        <v>3291</v>
      </c>
      <c r="D177" s="40" t="s">
        <v>3292</v>
      </c>
      <c r="E177" s="40" t="s">
        <v>3231</v>
      </c>
      <c r="F177" s="40" t="s">
        <v>1083</v>
      </c>
      <c r="G177" s="39" t="s">
        <v>1035</v>
      </c>
      <c r="H177" s="42" t="s">
        <v>3293</v>
      </c>
      <c r="I177" s="188">
        <v>44500.0</v>
      </c>
      <c r="J177" s="188">
        <v>44565.0</v>
      </c>
      <c r="K177" s="189">
        <v>648.0</v>
      </c>
      <c r="L177" s="19"/>
      <c r="M177" s="192" t="s">
        <v>2893</v>
      </c>
      <c r="N177" s="193"/>
      <c r="O177" s="169"/>
      <c r="P177" s="169"/>
      <c r="Q177" s="169"/>
      <c r="R177" s="169"/>
      <c r="S177" s="169"/>
      <c r="T177" s="169"/>
      <c r="U177" s="169"/>
      <c r="V177" s="169"/>
      <c r="W177" s="169"/>
      <c r="X177" s="169"/>
      <c r="Y177" s="169"/>
      <c r="Z177" s="169"/>
      <c r="AA177" s="169"/>
      <c r="AB177" s="169"/>
      <c r="AC177" s="169"/>
      <c r="AD177" s="169"/>
      <c r="AE177" s="169"/>
      <c r="AF177" s="169"/>
      <c r="AG177" s="169"/>
      <c r="AH177" s="169"/>
    </row>
    <row r="178" ht="15.75" customHeight="1">
      <c r="A178" s="169"/>
      <c r="B178" s="38" t="s">
        <v>1031</v>
      </c>
      <c r="C178" s="191" t="s">
        <v>3294</v>
      </c>
      <c r="D178" s="40" t="s">
        <v>1114</v>
      </c>
      <c r="E178" s="40" t="s">
        <v>3231</v>
      </c>
      <c r="F178" s="40" t="s">
        <v>1083</v>
      </c>
      <c r="G178" s="39" t="s">
        <v>1035</v>
      </c>
      <c r="H178" s="42" t="s">
        <v>3295</v>
      </c>
      <c r="I178" s="188">
        <v>44500.0</v>
      </c>
      <c r="J178" s="188">
        <v>44565.0</v>
      </c>
      <c r="K178" s="189">
        <v>722.0</v>
      </c>
      <c r="L178" s="19"/>
      <c r="M178" s="192" t="s">
        <v>2893</v>
      </c>
      <c r="N178" s="193"/>
      <c r="O178" s="169"/>
      <c r="P178" s="169"/>
      <c r="Q178" s="169"/>
      <c r="R178" s="169"/>
      <c r="S178" s="169"/>
      <c r="T178" s="169"/>
      <c r="U178" s="169"/>
      <c r="V178" s="169"/>
      <c r="W178" s="169"/>
      <c r="X178" s="169"/>
      <c r="Y178" s="169"/>
      <c r="Z178" s="169"/>
      <c r="AA178" s="169"/>
      <c r="AB178" s="169"/>
      <c r="AC178" s="169"/>
      <c r="AD178" s="169"/>
      <c r="AE178" s="169"/>
      <c r="AF178" s="169"/>
      <c r="AG178" s="169"/>
      <c r="AH178" s="169"/>
    </row>
    <row r="179" ht="15.75" customHeight="1">
      <c r="A179" s="169"/>
      <c r="B179" s="38" t="s">
        <v>118</v>
      </c>
      <c r="C179" s="191" t="s">
        <v>3296</v>
      </c>
      <c r="D179" s="40" t="s">
        <v>3297</v>
      </c>
      <c r="E179" s="40" t="s">
        <v>3298</v>
      </c>
      <c r="F179" s="40" t="s">
        <v>160</v>
      </c>
      <c r="G179" s="39" t="s">
        <v>192</v>
      </c>
      <c r="H179" s="42" t="s">
        <v>3299</v>
      </c>
      <c r="I179" s="188">
        <v>44500.0</v>
      </c>
      <c r="J179" s="188">
        <v>44565.0</v>
      </c>
      <c r="K179" s="189">
        <v>1444.0</v>
      </c>
      <c r="L179" s="19"/>
      <c r="M179" s="192" t="s">
        <v>312</v>
      </c>
      <c r="N179" s="119" t="s">
        <v>3300</v>
      </c>
      <c r="O179" s="169"/>
      <c r="P179" s="169"/>
      <c r="Q179" s="169"/>
      <c r="R179" s="169"/>
      <c r="S179" s="169"/>
      <c r="T179" s="169"/>
      <c r="U179" s="169"/>
      <c r="V179" s="169"/>
      <c r="W179" s="169"/>
      <c r="X179" s="169"/>
      <c r="Y179" s="169"/>
      <c r="Z179" s="169"/>
      <c r="AA179" s="169"/>
      <c r="AB179" s="169"/>
      <c r="AC179" s="169"/>
      <c r="AD179" s="169"/>
      <c r="AE179" s="169"/>
      <c r="AF179" s="169"/>
      <c r="AG179" s="169"/>
      <c r="AH179" s="169"/>
    </row>
    <row r="180" ht="15.75" customHeight="1">
      <c r="A180" s="169"/>
      <c r="B180" s="38" t="s">
        <v>118</v>
      </c>
      <c r="C180" s="191" t="s">
        <v>3301</v>
      </c>
      <c r="D180" s="40" t="s">
        <v>3302</v>
      </c>
      <c r="E180" s="40" t="s">
        <v>3298</v>
      </c>
      <c r="F180" s="40" t="s">
        <v>160</v>
      </c>
      <c r="G180" s="39" t="s">
        <v>169</v>
      </c>
      <c r="H180" s="42" t="s">
        <v>3303</v>
      </c>
      <c r="I180" s="188">
        <v>44136.0</v>
      </c>
      <c r="J180" s="188">
        <v>44201.0</v>
      </c>
      <c r="K180" s="189">
        <v>1458.0</v>
      </c>
      <c r="L180" s="19"/>
      <c r="M180" s="192" t="s">
        <v>289</v>
      </c>
      <c r="N180" s="119" t="s">
        <v>290</v>
      </c>
      <c r="O180" s="169"/>
      <c r="P180" s="169"/>
      <c r="Q180" s="169"/>
      <c r="R180" s="169"/>
      <c r="S180" s="169"/>
      <c r="T180" s="169"/>
      <c r="U180" s="169"/>
      <c r="V180" s="169"/>
      <c r="W180" s="169"/>
      <c r="X180" s="169"/>
      <c r="Y180" s="169"/>
      <c r="Z180" s="169"/>
      <c r="AA180" s="169"/>
      <c r="AB180" s="169"/>
      <c r="AC180" s="169"/>
      <c r="AD180" s="169"/>
      <c r="AE180" s="169"/>
      <c r="AF180" s="169"/>
      <c r="AG180" s="169"/>
      <c r="AH180" s="169"/>
    </row>
    <row r="181" ht="15.75" customHeight="1">
      <c r="A181" s="169"/>
      <c r="B181" s="38" t="s">
        <v>118</v>
      </c>
      <c r="C181" s="191" t="s">
        <v>3304</v>
      </c>
      <c r="D181" s="40" t="s">
        <v>3305</v>
      </c>
      <c r="E181" s="40" t="s">
        <v>3298</v>
      </c>
      <c r="F181" s="40" t="s">
        <v>160</v>
      </c>
      <c r="G181" s="39" t="s">
        <v>169</v>
      </c>
      <c r="H181" s="42" t="s">
        <v>3306</v>
      </c>
      <c r="I181" s="188">
        <v>44136.0</v>
      </c>
      <c r="J181" s="188">
        <v>44201.0</v>
      </c>
      <c r="K181" s="189">
        <v>1556.0</v>
      </c>
      <c r="L181" s="19"/>
      <c r="M181" s="192" t="s">
        <v>289</v>
      </c>
      <c r="N181" s="119" t="s">
        <v>290</v>
      </c>
      <c r="O181" s="169"/>
      <c r="P181" s="169"/>
      <c r="Q181" s="169"/>
      <c r="R181" s="169"/>
      <c r="S181" s="169"/>
      <c r="T181" s="169"/>
      <c r="U181" s="169"/>
      <c r="V181" s="169"/>
      <c r="W181" s="169"/>
      <c r="X181" s="169"/>
      <c r="Y181" s="169"/>
      <c r="Z181" s="169"/>
      <c r="AA181" s="169"/>
      <c r="AB181" s="169"/>
      <c r="AC181" s="169"/>
      <c r="AD181" s="169"/>
      <c r="AE181" s="169"/>
      <c r="AF181" s="169"/>
      <c r="AG181" s="169"/>
      <c r="AH181" s="169"/>
    </row>
    <row r="182" ht="15.75" customHeight="1">
      <c r="A182" s="169"/>
      <c r="B182" s="38" t="s">
        <v>118</v>
      </c>
      <c r="C182" s="191" t="s">
        <v>3307</v>
      </c>
      <c r="D182" s="40" t="s">
        <v>3308</v>
      </c>
      <c r="E182" s="40" t="s">
        <v>3298</v>
      </c>
      <c r="F182" s="40" t="s">
        <v>160</v>
      </c>
      <c r="G182" s="39" t="s">
        <v>169</v>
      </c>
      <c r="H182" s="42" t="s">
        <v>3309</v>
      </c>
      <c r="I182" s="188">
        <v>44500.0</v>
      </c>
      <c r="J182" s="188">
        <v>44565.0</v>
      </c>
      <c r="K182" s="189">
        <v>1596.0</v>
      </c>
      <c r="L182" s="19"/>
      <c r="M182" s="192" t="s">
        <v>286</v>
      </c>
      <c r="N182" s="119" t="s">
        <v>288</v>
      </c>
      <c r="O182" s="169"/>
      <c r="P182" s="169"/>
      <c r="Q182" s="169"/>
      <c r="R182" s="169"/>
      <c r="S182" s="169"/>
      <c r="T182" s="169"/>
      <c r="U182" s="169"/>
      <c r="V182" s="169"/>
      <c r="W182" s="169"/>
      <c r="X182" s="169"/>
      <c r="Y182" s="169"/>
      <c r="Z182" s="169"/>
      <c r="AA182" s="169"/>
      <c r="AB182" s="169"/>
      <c r="AC182" s="169"/>
      <c r="AD182" s="169"/>
      <c r="AE182" s="169"/>
      <c r="AF182" s="169"/>
      <c r="AG182" s="169"/>
      <c r="AH182" s="169"/>
    </row>
    <row r="183" ht="15.75" customHeight="1">
      <c r="A183" s="169"/>
      <c r="B183" s="38" t="s">
        <v>118</v>
      </c>
      <c r="C183" s="191" t="s">
        <v>3310</v>
      </c>
      <c r="D183" s="40" t="s">
        <v>3311</v>
      </c>
      <c r="E183" s="40" t="s">
        <v>3298</v>
      </c>
      <c r="F183" s="40" t="s">
        <v>3312</v>
      </c>
      <c r="G183" s="39" t="s">
        <v>123</v>
      </c>
      <c r="H183" s="42" t="s">
        <v>3313</v>
      </c>
      <c r="I183" s="188">
        <v>44250.0</v>
      </c>
      <c r="J183" s="188">
        <v>44315.0</v>
      </c>
      <c r="K183" s="189">
        <v>933.0</v>
      </c>
      <c r="L183" s="19"/>
      <c r="M183" s="192" t="s">
        <v>3314</v>
      </c>
      <c r="N183" s="119" t="s">
        <v>3315</v>
      </c>
      <c r="O183" s="169"/>
      <c r="P183" s="169"/>
      <c r="Q183" s="169"/>
      <c r="R183" s="169"/>
      <c r="S183" s="169"/>
      <c r="T183" s="169"/>
      <c r="U183" s="169"/>
      <c r="V183" s="169"/>
      <c r="W183" s="169"/>
      <c r="X183" s="169"/>
      <c r="Y183" s="169"/>
      <c r="Z183" s="169"/>
      <c r="AA183" s="169"/>
      <c r="AB183" s="169"/>
      <c r="AC183" s="169"/>
      <c r="AD183" s="169"/>
      <c r="AE183" s="169"/>
      <c r="AF183" s="169"/>
      <c r="AG183" s="169"/>
      <c r="AH183" s="169"/>
    </row>
    <row r="184" ht="15.75" customHeight="1">
      <c r="A184" s="169"/>
      <c r="B184" s="38" t="s">
        <v>118</v>
      </c>
      <c r="C184" s="191" t="s">
        <v>3314</v>
      </c>
      <c r="D184" s="40" t="s">
        <v>3311</v>
      </c>
      <c r="E184" s="40" t="s">
        <v>3298</v>
      </c>
      <c r="F184" s="40" t="s">
        <v>538</v>
      </c>
      <c r="G184" s="39" t="s">
        <v>123</v>
      </c>
      <c r="H184" s="42" t="s">
        <v>3315</v>
      </c>
      <c r="I184" s="188">
        <v>44742.0</v>
      </c>
      <c r="J184" s="188">
        <v>45077.0</v>
      </c>
      <c r="K184" s="189">
        <v>933.0</v>
      </c>
      <c r="L184" s="19"/>
      <c r="M184" s="192" t="s">
        <v>561</v>
      </c>
      <c r="N184" s="119" t="s">
        <v>563</v>
      </c>
      <c r="O184" s="169"/>
      <c r="P184" s="169"/>
      <c r="Q184" s="169"/>
      <c r="R184" s="169"/>
      <c r="S184" s="169"/>
      <c r="T184" s="169"/>
      <c r="U184" s="169"/>
      <c r="V184" s="169"/>
      <c r="W184" s="169"/>
      <c r="X184" s="169"/>
      <c r="Y184" s="169"/>
      <c r="Z184" s="169"/>
      <c r="AA184" s="169"/>
      <c r="AB184" s="169"/>
      <c r="AC184" s="169"/>
      <c r="AD184" s="169"/>
      <c r="AE184" s="169"/>
      <c r="AF184" s="169"/>
      <c r="AG184" s="169"/>
      <c r="AH184" s="169"/>
    </row>
    <row r="185" ht="15.75" customHeight="1">
      <c r="A185" s="169"/>
      <c r="B185" s="38" t="s">
        <v>118</v>
      </c>
      <c r="C185" s="191" t="s">
        <v>3316</v>
      </c>
      <c r="D185" s="40" t="s">
        <v>3317</v>
      </c>
      <c r="E185" s="40" t="s">
        <v>3298</v>
      </c>
      <c r="F185" s="40" t="s">
        <v>3318</v>
      </c>
      <c r="G185" s="39" t="s">
        <v>123</v>
      </c>
      <c r="H185" s="110" t="s">
        <v>3319</v>
      </c>
      <c r="I185" s="188">
        <v>44742.0</v>
      </c>
      <c r="J185" s="188">
        <v>45473.0</v>
      </c>
      <c r="K185" s="189">
        <v>1120.0</v>
      </c>
      <c r="L185" s="19"/>
      <c r="M185" s="192" t="s">
        <v>300</v>
      </c>
      <c r="N185" s="119" t="s">
        <v>302</v>
      </c>
      <c r="O185" s="169"/>
      <c r="P185" s="169"/>
      <c r="Q185" s="169"/>
      <c r="R185" s="169"/>
      <c r="S185" s="169"/>
      <c r="T185" s="169"/>
      <c r="U185" s="169"/>
      <c r="V185" s="169"/>
      <c r="W185" s="169"/>
      <c r="X185" s="169"/>
      <c r="Y185" s="169"/>
      <c r="Z185" s="169"/>
      <c r="AA185" s="169"/>
      <c r="AB185" s="169"/>
      <c r="AC185" s="169"/>
      <c r="AD185" s="169"/>
      <c r="AE185" s="169"/>
      <c r="AF185" s="169"/>
      <c r="AG185" s="169"/>
      <c r="AH185" s="169"/>
    </row>
    <row r="186" ht="15.75" customHeight="1">
      <c r="A186" s="169"/>
      <c r="B186" s="38" t="s">
        <v>118</v>
      </c>
      <c r="C186" s="191" t="s">
        <v>3320</v>
      </c>
      <c r="D186" s="40" t="s">
        <v>3321</v>
      </c>
      <c r="E186" s="40" t="s">
        <v>3298</v>
      </c>
      <c r="F186" s="40" t="s">
        <v>3322</v>
      </c>
      <c r="G186" s="39" t="s">
        <v>123</v>
      </c>
      <c r="H186" s="42" t="s">
        <v>3323</v>
      </c>
      <c r="I186" s="188">
        <v>44250.0</v>
      </c>
      <c r="J186" s="188">
        <v>44315.0</v>
      </c>
      <c r="K186" s="189">
        <v>1445.0</v>
      </c>
      <c r="L186" s="19"/>
      <c r="M186" s="192" t="s">
        <v>3324</v>
      </c>
      <c r="N186" s="119" t="s">
        <v>3325</v>
      </c>
      <c r="O186" s="169"/>
      <c r="P186" s="169"/>
      <c r="Q186" s="169"/>
      <c r="R186" s="169"/>
      <c r="S186" s="169"/>
      <c r="T186" s="169"/>
      <c r="U186" s="169"/>
      <c r="V186" s="169"/>
      <c r="W186" s="169"/>
      <c r="X186" s="169"/>
      <c r="Y186" s="169"/>
      <c r="Z186" s="169"/>
      <c r="AA186" s="169"/>
      <c r="AB186" s="169"/>
      <c r="AC186" s="169"/>
      <c r="AD186" s="169"/>
      <c r="AE186" s="169"/>
      <c r="AF186" s="169"/>
      <c r="AG186" s="169"/>
      <c r="AH186" s="169"/>
    </row>
    <row r="187" ht="15.75" customHeight="1">
      <c r="A187" s="169"/>
      <c r="B187" s="38" t="s">
        <v>118</v>
      </c>
      <c r="C187" s="191" t="s">
        <v>3326</v>
      </c>
      <c r="D187" s="40" t="s">
        <v>3327</v>
      </c>
      <c r="E187" s="40" t="s">
        <v>3298</v>
      </c>
      <c r="F187" s="40" t="s">
        <v>3328</v>
      </c>
      <c r="G187" s="39" t="s">
        <v>123</v>
      </c>
      <c r="H187" s="110" t="s">
        <v>3329</v>
      </c>
      <c r="I187" s="188">
        <v>44250.0</v>
      </c>
      <c r="J187" s="188">
        <v>44315.0</v>
      </c>
      <c r="K187" s="189">
        <v>1813.0</v>
      </c>
      <c r="L187" s="19"/>
      <c r="M187" s="192" t="s">
        <v>3330</v>
      </c>
      <c r="N187" s="119" t="s">
        <v>3331</v>
      </c>
      <c r="O187" s="169"/>
      <c r="P187" s="169"/>
      <c r="Q187" s="169"/>
      <c r="R187" s="169"/>
      <c r="S187" s="169"/>
      <c r="T187" s="169"/>
      <c r="U187" s="169"/>
      <c r="V187" s="169"/>
      <c r="W187" s="169"/>
      <c r="X187" s="169"/>
      <c r="Y187" s="169"/>
      <c r="Z187" s="169"/>
      <c r="AA187" s="169"/>
      <c r="AB187" s="169"/>
      <c r="AC187" s="169"/>
      <c r="AD187" s="169"/>
      <c r="AE187" s="169"/>
      <c r="AF187" s="169"/>
      <c r="AG187" s="169"/>
      <c r="AH187" s="169"/>
    </row>
    <row r="188" ht="15.75" customHeight="1">
      <c r="A188" s="169"/>
      <c r="B188" s="38" t="s">
        <v>118</v>
      </c>
      <c r="C188" s="191" t="s">
        <v>3332</v>
      </c>
      <c r="D188" s="40" t="s">
        <v>3333</v>
      </c>
      <c r="E188" s="40" t="s">
        <v>3298</v>
      </c>
      <c r="F188" s="40" t="s">
        <v>284</v>
      </c>
      <c r="G188" s="39" t="s">
        <v>123</v>
      </c>
      <c r="H188" s="42" t="s">
        <v>3334</v>
      </c>
      <c r="I188" s="188">
        <v>44440.0</v>
      </c>
      <c r="J188" s="188">
        <v>44505.0</v>
      </c>
      <c r="K188" s="189">
        <v>2968.0</v>
      </c>
      <c r="L188" s="19"/>
      <c r="M188" s="192" t="s">
        <v>282</v>
      </c>
      <c r="N188" s="119" t="s">
        <v>285</v>
      </c>
      <c r="O188" s="169"/>
      <c r="P188" s="169"/>
      <c r="Q188" s="169"/>
      <c r="R188" s="169"/>
      <c r="S188" s="169"/>
      <c r="T188" s="169"/>
      <c r="U188" s="169"/>
      <c r="V188" s="169"/>
      <c r="W188" s="169"/>
      <c r="X188" s="169"/>
      <c r="Y188" s="169"/>
      <c r="Z188" s="169"/>
      <c r="AA188" s="169"/>
      <c r="AB188" s="169"/>
      <c r="AC188" s="169"/>
      <c r="AD188" s="169"/>
      <c r="AE188" s="169"/>
      <c r="AF188" s="169"/>
      <c r="AG188" s="169"/>
      <c r="AH188" s="169"/>
    </row>
    <row r="189" ht="15.75" customHeight="1">
      <c r="A189" s="169"/>
      <c r="B189" s="38" t="s">
        <v>118</v>
      </c>
      <c r="C189" s="191" t="s">
        <v>3335</v>
      </c>
      <c r="D189" s="40" t="s">
        <v>3336</v>
      </c>
      <c r="E189" s="40" t="s">
        <v>3298</v>
      </c>
      <c r="F189" s="40" t="s">
        <v>164</v>
      </c>
      <c r="G189" s="39" t="s">
        <v>123</v>
      </c>
      <c r="H189" s="42" t="s">
        <v>3337</v>
      </c>
      <c r="I189" s="188">
        <v>44494.0</v>
      </c>
      <c r="J189" s="188">
        <v>44559.0</v>
      </c>
      <c r="K189" s="189">
        <v>2522.0</v>
      </c>
      <c r="L189" s="19"/>
      <c r="M189" s="192" t="s">
        <v>2893</v>
      </c>
      <c r="N189" s="194" t="s">
        <v>3338</v>
      </c>
      <c r="O189" s="169"/>
      <c r="P189" s="169"/>
      <c r="Q189" s="169"/>
      <c r="R189" s="169"/>
      <c r="S189" s="169"/>
      <c r="T189" s="169"/>
      <c r="U189" s="169"/>
      <c r="V189" s="169"/>
      <c r="W189" s="169"/>
      <c r="X189" s="169"/>
      <c r="Y189" s="169"/>
      <c r="Z189" s="169"/>
      <c r="AA189" s="169"/>
      <c r="AB189" s="169"/>
      <c r="AC189" s="169"/>
      <c r="AD189" s="169"/>
      <c r="AE189" s="169"/>
      <c r="AF189" s="169"/>
      <c r="AG189" s="169"/>
      <c r="AH189" s="169"/>
    </row>
    <row r="190" ht="15.75" customHeight="1">
      <c r="A190" s="169"/>
      <c r="B190" s="38" t="s">
        <v>118</v>
      </c>
      <c r="C190" s="191" t="s">
        <v>3339</v>
      </c>
      <c r="D190" s="40" t="s">
        <v>3340</v>
      </c>
      <c r="E190" s="40" t="s">
        <v>3298</v>
      </c>
      <c r="F190" s="40" t="s">
        <v>280</v>
      </c>
      <c r="G190" s="39" t="s">
        <v>123</v>
      </c>
      <c r="H190" s="42" t="s">
        <v>3341</v>
      </c>
      <c r="I190" s="188">
        <v>44494.0</v>
      </c>
      <c r="J190" s="188">
        <v>44559.0</v>
      </c>
      <c r="K190" s="189">
        <v>3808.0</v>
      </c>
      <c r="L190" s="19"/>
      <c r="M190" s="186" t="s">
        <v>3342</v>
      </c>
      <c r="N190" s="195" t="s">
        <v>3343</v>
      </c>
      <c r="O190" s="169"/>
      <c r="P190" s="169"/>
      <c r="Q190" s="169"/>
      <c r="R190" s="169"/>
      <c r="S190" s="169"/>
      <c r="T190" s="169"/>
      <c r="U190" s="169"/>
      <c r="V190" s="169"/>
      <c r="W190" s="169"/>
      <c r="X190" s="169"/>
      <c r="Y190" s="169"/>
      <c r="Z190" s="169"/>
      <c r="AA190" s="169"/>
      <c r="AB190" s="169"/>
      <c r="AC190" s="169"/>
      <c r="AD190" s="169"/>
      <c r="AE190" s="169"/>
      <c r="AF190" s="169"/>
      <c r="AG190" s="169"/>
      <c r="AH190" s="169"/>
    </row>
    <row r="191" ht="15.75" customHeight="1">
      <c r="A191" s="169"/>
      <c r="B191" s="38" t="s">
        <v>118</v>
      </c>
      <c r="C191" s="191" t="s">
        <v>3344</v>
      </c>
      <c r="D191" s="40" t="s">
        <v>3345</v>
      </c>
      <c r="E191" s="40" t="s">
        <v>3298</v>
      </c>
      <c r="F191" s="40" t="s">
        <v>164</v>
      </c>
      <c r="G191" s="39" t="s">
        <v>123</v>
      </c>
      <c r="H191" s="42" t="s">
        <v>3346</v>
      </c>
      <c r="I191" s="188">
        <v>44494.0</v>
      </c>
      <c r="J191" s="188">
        <v>44559.0</v>
      </c>
      <c r="K191" s="189">
        <v>2174.0</v>
      </c>
      <c r="L191" s="19"/>
      <c r="M191" s="192" t="s">
        <v>297</v>
      </c>
      <c r="N191" s="119" t="s">
        <v>3347</v>
      </c>
      <c r="O191" s="169"/>
      <c r="P191" s="169"/>
      <c r="Q191" s="169"/>
      <c r="R191" s="169"/>
      <c r="S191" s="169"/>
      <c r="T191" s="169"/>
      <c r="U191" s="169"/>
      <c r="V191" s="169"/>
      <c r="W191" s="169"/>
      <c r="X191" s="169"/>
      <c r="Y191" s="169"/>
      <c r="Z191" s="169"/>
      <c r="AA191" s="169"/>
      <c r="AB191" s="169"/>
      <c r="AC191" s="169"/>
      <c r="AD191" s="169"/>
      <c r="AE191" s="169"/>
      <c r="AF191" s="169"/>
      <c r="AG191" s="169"/>
      <c r="AH191" s="169"/>
    </row>
    <row r="192" ht="15.75" customHeight="1">
      <c r="A192" s="169"/>
      <c r="B192" s="38" t="s">
        <v>118</v>
      </c>
      <c r="C192" s="191" t="s">
        <v>3348</v>
      </c>
      <c r="D192" s="40" t="s">
        <v>3349</v>
      </c>
      <c r="E192" s="40" t="s">
        <v>3298</v>
      </c>
      <c r="F192" s="40" t="s">
        <v>164</v>
      </c>
      <c r="G192" s="39" t="s">
        <v>123</v>
      </c>
      <c r="H192" s="42" t="s">
        <v>3350</v>
      </c>
      <c r="I192" s="188">
        <v>44494.0</v>
      </c>
      <c r="J192" s="188">
        <v>44559.0</v>
      </c>
      <c r="K192" s="189">
        <v>2397.0</v>
      </c>
      <c r="L192" s="19"/>
      <c r="M192" s="192" t="s">
        <v>294</v>
      </c>
      <c r="N192" s="119" t="s">
        <v>296</v>
      </c>
      <c r="O192" s="169"/>
      <c r="P192" s="169"/>
      <c r="Q192" s="169"/>
      <c r="R192" s="169"/>
      <c r="S192" s="169"/>
      <c r="T192" s="169"/>
      <c r="U192" s="169"/>
      <c r="V192" s="169"/>
      <c r="W192" s="169"/>
      <c r="X192" s="169"/>
      <c r="Y192" s="169"/>
      <c r="Z192" s="169"/>
      <c r="AA192" s="169"/>
      <c r="AB192" s="169"/>
      <c r="AC192" s="169"/>
      <c r="AD192" s="169"/>
      <c r="AE192" s="169"/>
      <c r="AF192" s="169"/>
      <c r="AG192" s="169"/>
      <c r="AH192" s="169"/>
    </row>
    <row r="193" ht="15.75" customHeight="1">
      <c r="A193" s="169"/>
      <c r="B193" s="38" t="s">
        <v>118</v>
      </c>
      <c r="C193" s="191" t="s">
        <v>3351</v>
      </c>
      <c r="D193" s="40" t="s">
        <v>3352</v>
      </c>
      <c r="E193" s="40" t="s">
        <v>3298</v>
      </c>
      <c r="F193" s="40" t="s">
        <v>280</v>
      </c>
      <c r="G193" s="39" t="s">
        <v>123</v>
      </c>
      <c r="H193" s="42" t="s">
        <v>3353</v>
      </c>
      <c r="I193" s="188">
        <v>44494.0</v>
      </c>
      <c r="J193" s="188">
        <v>44559.0</v>
      </c>
      <c r="K193" s="189">
        <v>3370.0</v>
      </c>
      <c r="L193" s="19"/>
      <c r="M193" s="192" t="s">
        <v>278</v>
      </c>
      <c r="N193" s="119" t="s">
        <v>281</v>
      </c>
      <c r="O193" s="169"/>
      <c r="P193" s="169"/>
      <c r="Q193" s="169"/>
      <c r="R193" s="169"/>
      <c r="S193" s="169"/>
      <c r="T193" s="169"/>
      <c r="U193" s="169"/>
      <c r="V193" s="169"/>
      <c r="W193" s="169"/>
      <c r="X193" s="169"/>
      <c r="Y193" s="169"/>
      <c r="Z193" s="169"/>
      <c r="AA193" s="169"/>
      <c r="AB193" s="169"/>
      <c r="AC193" s="169"/>
      <c r="AD193" s="169"/>
      <c r="AE193" s="169"/>
      <c r="AF193" s="169"/>
      <c r="AG193" s="169"/>
      <c r="AH193" s="169"/>
    </row>
    <row r="194" ht="15.75" customHeight="1">
      <c r="A194" s="169"/>
      <c r="B194" s="38" t="s">
        <v>118</v>
      </c>
      <c r="C194" s="191" t="s">
        <v>3354</v>
      </c>
      <c r="D194" s="40" t="s">
        <v>274</v>
      </c>
      <c r="E194" s="40" t="s">
        <v>3298</v>
      </c>
      <c r="F194" s="40" t="s">
        <v>3355</v>
      </c>
      <c r="G194" s="39" t="s">
        <v>123</v>
      </c>
      <c r="H194" s="42" t="s">
        <v>3356</v>
      </c>
      <c r="I194" s="188">
        <v>44116.0</v>
      </c>
      <c r="J194" s="188">
        <v>44181.0</v>
      </c>
      <c r="K194" s="189">
        <v>5932.0</v>
      </c>
      <c r="L194" s="19"/>
      <c r="M194" s="192" t="s">
        <v>273</v>
      </c>
      <c r="N194" s="119" t="s">
        <v>3357</v>
      </c>
      <c r="O194" s="169"/>
      <c r="P194" s="169"/>
      <c r="Q194" s="169"/>
      <c r="R194" s="169"/>
      <c r="S194" s="169"/>
      <c r="T194" s="169"/>
      <c r="U194" s="169"/>
      <c r="V194" s="169"/>
      <c r="W194" s="169"/>
      <c r="X194" s="169"/>
      <c r="Y194" s="169"/>
      <c r="Z194" s="169"/>
      <c r="AA194" s="169"/>
      <c r="AB194" s="169"/>
      <c r="AC194" s="169"/>
      <c r="AD194" s="169"/>
      <c r="AE194" s="169"/>
      <c r="AF194" s="169"/>
      <c r="AG194" s="169"/>
      <c r="AH194" s="169"/>
    </row>
    <row r="195" ht="15.75" customHeight="1">
      <c r="A195" s="169"/>
      <c r="B195" s="38" t="s">
        <v>118</v>
      </c>
      <c r="C195" s="191" t="s">
        <v>3358</v>
      </c>
      <c r="D195" s="40" t="s">
        <v>3359</v>
      </c>
      <c r="E195" s="40" t="s">
        <v>3298</v>
      </c>
      <c r="F195" s="40" t="s">
        <v>160</v>
      </c>
      <c r="G195" s="39" t="s">
        <v>18</v>
      </c>
      <c r="H195" s="42" t="s">
        <v>3360</v>
      </c>
      <c r="I195" s="188">
        <v>44250.0</v>
      </c>
      <c r="J195" s="188">
        <v>44315.0</v>
      </c>
      <c r="K195" s="189">
        <v>1740.0</v>
      </c>
      <c r="L195" s="19"/>
      <c r="M195" s="192" t="s">
        <v>243</v>
      </c>
      <c r="N195" s="119" t="s">
        <v>244</v>
      </c>
      <c r="O195" s="169"/>
      <c r="P195" s="169"/>
      <c r="Q195" s="169"/>
      <c r="R195" s="169"/>
      <c r="S195" s="169"/>
      <c r="T195" s="169"/>
      <c r="U195" s="169"/>
      <c r="V195" s="169"/>
      <c r="W195" s="169"/>
      <c r="X195" s="169"/>
      <c r="Y195" s="169"/>
      <c r="Z195" s="169"/>
      <c r="AA195" s="169"/>
      <c r="AB195" s="169"/>
      <c r="AC195" s="169"/>
      <c r="AD195" s="169"/>
      <c r="AE195" s="169"/>
      <c r="AF195" s="169"/>
      <c r="AG195" s="169"/>
      <c r="AH195" s="169"/>
    </row>
    <row r="196" ht="15.75" customHeight="1">
      <c r="A196" s="169"/>
      <c r="B196" s="38" t="s">
        <v>118</v>
      </c>
      <c r="C196" s="191" t="s">
        <v>3361</v>
      </c>
      <c r="D196" s="40" t="s">
        <v>3362</v>
      </c>
      <c r="E196" s="40" t="s">
        <v>3298</v>
      </c>
      <c r="F196" s="40" t="s">
        <v>164</v>
      </c>
      <c r="G196" s="39" t="s">
        <v>213</v>
      </c>
      <c r="H196" s="42" t="s">
        <v>3363</v>
      </c>
      <c r="I196" s="188">
        <v>43978.0</v>
      </c>
      <c r="J196" s="188">
        <v>44043.0</v>
      </c>
      <c r="K196" s="189">
        <v>6280.0</v>
      </c>
      <c r="L196" s="19"/>
      <c r="M196" s="192" t="s">
        <v>319</v>
      </c>
      <c r="N196" s="119" t="s">
        <v>3364</v>
      </c>
      <c r="O196" s="169"/>
      <c r="P196" s="169"/>
      <c r="Q196" s="169"/>
      <c r="R196" s="169"/>
      <c r="S196" s="169"/>
      <c r="T196" s="169"/>
      <c r="U196" s="169"/>
      <c r="V196" s="169"/>
      <c r="W196" s="169"/>
      <c r="X196" s="169"/>
      <c r="Y196" s="169"/>
      <c r="Z196" s="169"/>
      <c r="AA196" s="169"/>
      <c r="AB196" s="169"/>
      <c r="AC196" s="169"/>
      <c r="AD196" s="169"/>
      <c r="AE196" s="169"/>
      <c r="AF196" s="169"/>
      <c r="AG196" s="169"/>
      <c r="AH196" s="169"/>
    </row>
    <row r="197" ht="15.75" customHeight="1">
      <c r="A197" s="169"/>
      <c r="B197" s="38" t="s">
        <v>118</v>
      </c>
      <c r="C197" s="191" t="s">
        <v>3365</v>
      </c>
      <c r="D197" s="40" t="s">
        <v>3366</v>
      </c>
      <c r="E197" s="40" t="s">
        <v>3298</v>
      </c>
      <c r="F197" s="40" t="s">
        <v>160</v>
      </c>
      <c r="G197" s="39" t="s">
        <v>184</v>
      </c>
      <c r="H197" s="42" t="s">
        <v>3367</v>
      </c>
      <c r="I197" s="188">
        <v>44160.0</v>
      </c>
      <c r="J197" s="188">
        <v>44225.0</v>
      </c>
      <c r="K197" s="189">
        <v>1700.0</v>
      </c>
      <c r="L197" s="19"/>
      <c r="M197" s="192" t="s">
        <v>306</v>
      </c>
      <c r="N197" s="119" t="s">
        <v>3368</v>
      </c>
      <c r="O197" s="169"/>
      <c r="P197" s="169"/>
      <c r="Q197" s="169"/>
      <c r="R197" s="169"/>
      <c r="S197" s="169"/>
      <c r="T197" s="169"/>
      <c r="U197" s="169"/>
      <c r="V197" s="169"/>
      <c r="W197" s="169"/>
      <c r="X197" s="169"/>
      <c r="Y197" s="169"/>
      <c r="Z197" s="169"/>
      <c r="AA197" s="169"/>
      <c r="AB197" s="169"/>
      <c r="AC197" s="169"/>
      <c r="AD197" s="169"/>
      <c r="AE197" s="169"/>
      <c r="AF197" s="169"/>
      <c r="AG197" s="169"/>
      <c r="AH197" s="169"/>
    </row>
    <row r="198" ht="15.75" customHeight="1">
      <c r="A198" s="169"/>
      <c r="B198" s="38" t="s">
        <v>1031</v>
      </c>
      <c r="C198" s="191" t="s">
        <v>3369</v>
      </c>
      <c r="D198" s="40" t="s">
        <v>3370</v>
      </c>
      <c r="E198" s="40" t="s">
        <v>3298</v>
      </c>
      <c r="F198" s="40" t="s">
        <v>1041</v>
      </c>
      <c r="G198" s="39" t="s">
        <v>1035</v>
      </c>
      <c r="H198" s="42" t="s">
        <v>3371</v>
      </c>
      <c r="I198" s="188">
        <v>44305.0</v>
      </c>
      <c r="J198" s="188">
        <v>44370.0</v>
      </c>
      <c r="K198" s="189">
        <v>7732.0</v>
      </c>
      <c r="L198" s="19"/>
      <c r="M198" s="192" t="s">
        <v>3372</v>
      </c>
      <c r="N198" s="119" t="s">
        <v>3373</v>
      </c>
      <c r="O198" s="169"/>
      <c r="P198" s="169"/>
      <c r="Q198" s="169"/>
      <c r="R198" s="169"/>
      <c r="S198" s="169"/>
      <c r="T198" s="169"/>
      <c r="U198" s="169"/>
      <c r="V198" s="169"/>
      <c r="W198" s="169"/>
      <c r="X198" s="169"/>
      <c r="Y198" s="169"/>
      <c r="Z198" s="169"/>
      <c r="AA198" s="169"/>
      <c r="AB198" s="169"/>
      <c r="AC198" s="169"/>
      <c r="AD198" s="169"/>
      <c r="AE198" s="169"/>
      <c r="AF198" s="169"/>
      <c r="AG198" s="169"/>
      <c r="AH198" s="169"/>
    </row>
    <row r="199" ht="15.75" customHeight="1">
      <c r="A199" s="169"/>
      <c r="B199" s="38" t="s">
        <v>1031</v>
      </c>
      <c r="C199" s="191" t="s">
        <v>3374</v>
      </c>
      <c r="D199" s="40" t="s">
        <v>3375</v>
      </c>
      <c r="E199" s="40" t="s">
        <v>3298</v>
      </c>
      <c r="F199" s="40" t="s">
        <v>1041</v>
      </c>
      <c r="G199" s="39" t="s">
        <v>1035</v>
      </c>
      <c r="H199" s="42" t="s">
        <v>3376</v>
      </c>
      <c r="I199" s="188">
        <v>44305.0</v>
      </c>
      <c r="J199" s="188">
        <v>44370.0</v>
      </c>
      <c r="K199" s="189">
        <v>7912.0</v>
      </c>
      <c r="L199" s="19"/>
      <c r="M199" s="192" t="s">
        <v>2893</v>
      </c>
      <c r="N199" s="194"/>
      <c r="O199" s="169"/>
      <c r="P199" s="169"/>
      <c r="Q199" s="169"/>
      <c r="R199" s="169"/>
      <c r="S199" s="169"/>
      <c r="T199" s="169"/>
      <c r="U199" s="169"/>
      <c r="V199" s="169"/>
      <c r="W199" s="169"/>
      <c r="X199" s="169"/>
      <c r="Y199" s="169"/>
      <c r="Z199" s="169"/>
      <c r="AA199" s="169"/>
      <c r="AB199" s="169"/>
      <c r="AC199" s="169"/>
      <c r="AD199" s="169"/>
      <c r="AE199" s="169"/>
      <c r="AF199" s="169"/>
      <c r="AG199" s="169"/>
      <c r="AH199" s="169"/>
    </row>
    <row r="200" ht="15.75" customHeight="1">
      <c r="A200" s="169"/>
      <c r="B200" s="38" t="s">
        <v>118</v>
      </c>
      <c r="C200" s="191" t="s">
        <v>3377</v>
      </c>
      <c r="D200" s="40" t="s">
        <v>704</v>
      </c>
      <c r="E200" s="40" t="s">
        <v>3378</v>
      </c>
      <c r="F200" s="40" t="s">
        <v>623</v>
      </c>
      <c r="G200" s="39" t="s">
        <v>131</v>
      </c>
      <c r="H200" s="42" t="s">
        <v>3379</v>
      </c>
      <c r="I200" s="188">
        <v>44068.0</v>
      </c>
      <c r="J200" s="188">
        <v>44133.0</v>
      </c>
      <c r="K200" s="189">
        <v>264.0</v>
      </c>
      <c r="L200" s="19"/>
      <c r="M200" s="192" t="s">
        <v>3380</v>
      </c>
      <c r="N200" s="119" t="s">
        <v>3381</v>
      </c>
      <c r="O200" s="169"/>
      <c r="P200" s="169"/>
      <c r="Q200" s="169"/>
      <c r="R200" s="169"/>
      <c r="S200" s="169"/>
      <c r="T200" s="169"/>
      <c r="U200" s="169"/>
      <c r="V200" s="169"/>
      <c r="W200" s="169"/>
      <c r="X200" s="169"/>
      <c r="Y200" s="169"/>
      <c r="Z200" s="169"/>
      <c r="AA200" s="169"/>
      <c r="AB200" s="169"/>
      <c r="AC200" s="169"/>
      <c r="AD200" s="169"/>
      <c r="AE200" s="169"/>
      <c r="AF200" s="169"/>
      <c r="AG200" s="169"/>
      <c r="AH200" s="169"/>
    </row>
    <row r="201" ht="15.75" customHeight="1">
      <c r="A201" s="169"/>
      <c r="B201" s="38" t="s">
        <v>118</v>
      </c>
      <c r="C201" s="191" t="s">
        <v>3382</v>
      </c>
      <c r="D201" s="40" t="s">
        <v>3383</v>
      </c>
      <c r="E201" s="40" t="s">
        <v>3378</v>
      </c>
      <c r="F201" s="40" t="s">
        <v>538</v>
      </c>
      <c r="G201" s="39" t="s">
        <v>131</v>
      </c>
      <c r="H201" s="42" t="s">
        <v>3384</v>
      </c>
      <c r="I201" s="188">
        <v>44404.0</v>
      </c>
      <c r="J201" s="188">
        <v>44469.0</v>
      </c>
      <c r="K201" s="189">
        <v>304.0</v>
      </c>
      <c r="L201" s="19"/>
      <c r="M201" s="192" t="s">
        <v>3385</v>
      </c>
      <c r="N201" s="119" t="s">
        <v>3386</v>
      </c>
      <c r="O201" s="169"/>
      <c r="P201" s="169"/>
      <c r="Q201" s="169"/>
      <c r="R201" s="169"/>
      <c r="S201" s="169"/>
      <c r="T201" s="169"/>
      <c r="U201" s="169"/>
      <c r="V201" s="169"/>
      <c r="W201" s="169"/>
      <c r="X201" s="169"/>
      <c r="Y201" s="169"/>
      <c r="Z201" s="169"/>
      <c r="AA201" s="169"/>
      <c r="AB201" s="169"/>
      <c r="AC201" s="169"/>
      <c r="AD201" s="169"/>
      <c r="AE201" s="169"/>
      <c r="AF201" s="169"/>
      <c r="AG201" s="169"/>
      <c r="AH201" s="169"/>
    </row>
    <row r="202" ht="15.75" customHeight="1">
      <c r="A202" s="169"/>
      <c r="B202" s="38" t="s">
        <v>118</v>
      </c>
      <c r="C202" s="191" t="s">
        <v>3387</v>
      </c>
      <c r="D202" s="40" t="s">
        <v>812</v>
      </c>
      <c r="E202" s="40" t="s">
        <v>3378</v>
      </c>
      <c r="F202" s="40" t="s">
        <v>623</v>
      </c>
      <c r="G202" s="39" t="s">
        <v>192</v>
      </c>
      <c r="H202" s="42" t="s">
        <v>3388</v>
      </c>
      <c r="I202" s="188">
        <v>43830.0</v>
      </c>
      <c r="J202" s="188">
        <v>43895.0</v>
      </c>
      <c r="K202" s="189">
        <v>234.0</v>
      </c>
      <c r="L202" s="19"/>
      <c r="M202" s="192" t="s">
        <v>820</v>
      </c>
      <c r="N202" s="119" t="s">
        <v>821</v>
      </c>
      <c r="O202" s="169"/>
      <c r="P202" s="169"/>
      <c r="Q202" s="169"/>
      <c r="R202" s="169"/>
      <c r="S202" s="169"/>
      <c r="T202" s="169"/>
      <c r="U202" s="169"/>
      <c r="V202" s="169"/>
      <c r="W202" s="169"/>
      <c r="X202" s="169"/>
      <c r="Y202" s="169"/>
      <c r="Z202" s="169"/>
      <c r="AA202" s="169"/>
      <c r="AB202" s="169"/>
      <c r="AC202" s="169"/>
      <c r="AD202" s="169"/>
      <c r="AE202" s="169"/>
      <c r="AF202" s="169"/>
      <c r="AG202" s="169"/>
      <c r="AH202" s="169"/>
    </row>
    <row r="203" ht="15.75" customHeight="1">
      <c r="A203" s="169"/>
      <c r="B203" s="38" t="s">
        <v>118</v>
      </c>
      <c r="C203" s="191" t="s">
        <v>3389</v>
      </c>
      <c r="D203" s="40" t="s">
        <v>812</v>
      </c>
      <c r="E203" s="40" t="s">
        <v>3378</v>
      </c>
      <c r="F203" s="40" t="s">
        <v>623</v>
      </c>
      <c r="G203" s="39" t="s">
        <v>192</v>
      </c>
      <c r="H203" s="42" t="s">
        <v>3390</v>
      </c>
      <c r="I203" s="188">
        <v>43830.0</v>
      </c>
      <c r="J203" s="188">
        <v>43895.0</v>
      </c>
      <c r="K203" s="189">
        <v>234.0</v>
      </c>
      <c r="L203" s="19"/>
      <c r="M203" s="192" t="s">
        <v>816</v>
      </c>
      <c r="N203" s="119" t="s">
        <v>817</v>
      </c>
      <c r="O203" s="169"/>
      <c r="P203" s="169"/>
      <c r="Q203" s="169"/>
      <c r="R203" s="169"/>
      <c r="S203" s="169"/>
      <c r="T203" s="169"/>
      <c r="U203" s="169"/>
      <c r="V203" s="169"/>
      <c r="W203" s="169"/>
      <c r="X203" s="169"/>
      <c r="Y203" s="169"/>
      <c r="Z203" s="169"/>
      <c r="AA203" s="169"/>
      <c r="AB203" s="169"/>
      <c r="AC203" s="169"/>
      <c r="AD203" s="169"/>
      <c r="AE203" s="169"/>
      <c r="AF203" s="169"/>
      <c r="AG203" s="169"/>
      <c r="AH203" s="169"/>
    </row>
    <row r="204" ht="15.75" customHeight="1">
      <c r="A204" s="169"/>
      <c r="B204" s="38" t="s">
        <v>118</v>
      </c>
      <c r="C204" s="191" t="s">
        <v>3391</v>
      </c>
      <c r="D204" s="40" t="s">
        <v>812</v>
      </c>
      <c r="E204" s="40" t="s">
        <v>3378</v>
      </c>
      <c r="F204" s="40" t="s">
        <v>623</v>
      </c>
      <c r="G204" s="39" t="s">
        <v>192</v>
      </c>
      <c r="H204" s="42" t="s">
        <v>3392</v>
      </c>
      <c r="I204" s="188">
        <v>44528.0</v>
      </c>
      <c r="J204" s="188">
        <v>44593.0</v>
      </c>
      <c r="K204" s="189">
        <v>234.0</v>
      </c>
      <c r="L204" s="19"/>
      <c r="M204" s="192" t="s">
        <v>3393</v>
      </c>
      <c r="N204" s="119" t="s">
        <v>817</v>
      </c>
      <c r="O204" s="169"/>
      <c r="P204" s="169"/>
      <c r="Q204" s="169"/>
      <c r="R204" s="169"/>
      <c r="S204" s="169"/>
      <c r="T204" s="169"/>
      <c r="U204" s="169"/>
      <c r="V204" s="169"/>
      <c r="W204" s="169"/>
      <c r="X204" s="169"/>
      <c r="Y204" s="169"/>
      <c r="Z204" s="169"/>
      <c r="AA204" s="169"/>
      <c r="AB204" s="169"/>
      <c r="AC204" s="169"/>
      <c r="AD204" s="169"/>
      <c r="AE204" s="169"/>
      <c r="AF204" s="169"/>
      <c r="AG204" s="169"/>
      <c r="AH204" s="169"/>
    </row>
    <row r="205" ht="15.75" customHeight="1">
      <c r="A205" s="169"/>
      <c r="B205" s="38" t="s">
        <v>118</v>
      </c>
      <c r="C205" s="191" t="s">
        <v>3393</v>
      </c>
      <c r="D205" s="40" t="s">
        <v>812</v>
      </c>
      <c r="E205" s="40" t="s">
        <v>3378</v>
      </c>
      <c r="F205" s="40" t="s">
        <v>623</v>
      </c>
      <c r="G205" s="39" t="s">
        <v>192</v>
      </c>
      <c r="H205" s="42" t="s">
        <v>3394</v>
      </c>
      <c r="I205" s="188">
        <v>44614.0</v>
      </c>
      <c r="J205" s="188">
        <v>44679.0</v>
      </c>
      <c r="K205" s="189">
        <v>234.0</v>
      </c>
      <c r="L205" s="19"/>
      <c r="M205" s="192" t="s">
        <v>2893</v>
      </c>
      <c r="N205" s="42"/>
      <c r="O205" s="169"/>
      <c r="P205" s="169"/>
      <c r="Q205" s="169"/>
      <c r="R205" s="169"/>
      <c r="S205" s="169"/>
      <c r="T205" s="169"/>
      <c r="U205" s="169"/>
      <c r="V205" s="169"/>
      <c r="W205" s="169"/>
      <c r="X205" s="169"/>
      <c r="Y205" s="169"/>
      <c r="Z205" s="169"/>
      <c r="AA205" s="169"/>
      <c r="AB205" s="169"/>
      <c r="AC205" s="169"/>
      <c r="AD205" s="169"/>
      <c r="AE205" s="169"/>
      <c r="AF205" s="169"/>
      <c r="AG205" s="169"/>
      <c r="AH205" s="169"/>
    </row>
    <row r="206" ht="15.75" customHeight="1">
      <c r="A206" s="169"/>
      <c r="B206" s="38" t="s">
        <v>118</v>
      </c>
      <c r="C206" s="191" t="s">
        <v>3395</v>
      </c>
      <c r="D206" s="40" t="s">
        <v>812</v>
      </c>
      <c r="E206" s="40" t="s">
        <v>3378</v>
      </c>
      <c r="F206" s="40" t="s">
        <v>623</v>
      </c>
      <c r="G206" s="39" t="s">
        <v>192</v>
      </c>
      <c r="H206" s="48" t="s">
        <v>3396</v>
      </c>
      <c r="I206" s="188">
        <v>44742.0</v>
      </c>
      <c r="J206" s="188">
        <v>44773.0</v>
      </c>
      <c r="K206" s="189">
        <v>234.0</v>
      </c>
      <c r="L206" s="19"/>
      <c r="M206" s="192" t="s">
        <v>2893</v>
      </c>
      <c r="N206" s="42"/>
      <c r="O206" s="169"/>
      <c r="P206" s="169"/>
      <c r="Q206" s="169"/>
      <c r="R206" s="169"/>
      <c r="S206" s="169"/>
      <c r="T206" s="169"/>
      <c r="U206" s="169"/>
      <c r="V206" s="169"/>
      <c r="W206" s="169"/>
      <c r="X206" s="169"/>
      <c r="Y206" s="169"/>
      <c r="Z206" s="169"/>
      <c r="AA206" s="169"/>
      <c r="AB206" s="169"/>
      <c r="AC206" s="169"/>
      <c r="AD206" s="169"/>
      <c r="AE206" s="169"/>
      <c r="AF206" s="169"/>
      <c r="AG206" s="169"/>
      <c r="AH206" s="169"/>
    </row>
    <row r="207" ht="15.75" customHeight="1">
      <c r="A207" s="169"/>
      <c r="B207" s="38" t="s">
        <v>118</v>
      </c>
      <c r="C207" s="191" t="s">
        <v>3397</v>
      </c>
      <c r="D207" s="40" t="s">
        <v>812</v>
      </c>
      <c r="E207" s="40" t="s">
        <v>3378</v>
      </c>
      <c r="F207" s="40" t="s">
        <v>623</v>
      </c>
      <c r="G207" s="39" t="s">
        <v>192</v>
      </c>
      <c r="H207" s="42" t="s">
        <v>3398</v>
      </c>
      <c r="I207" s="188">
        <v>43830.0</v>
      </c>
      <c r="J207" s="188">
        <v>43895.0</v>
      </c>
      <c r="K207" s="189">
        <v>360.0</v>
      </c>
      <c r="L207" s="19"/>
      <c r="M207" s="192" t="s">
        <v>811</v>
      </c>
      <c r="N207" s="119" t="s">
        <v>813</v>
      </c>
      <c r="O207" s="169"/>
      <c r="P207" s="169"/>
      <c r="Q207" s="169"/>
      <c r="R207" s="169"/>
      <c r="S207" s="169"/>
      <c r="T207" s="169"/>
      <c r="U207" s="169"/>
      <c r="V207" s="169"/>
      <c r="W207" s="169"/>
      <c r="X207" s="169"/>
      <c r="Y207" s="169"/>
      <c r="Z207" s="169"/>
      <c r="AA207" s="169"/>
      <c r="AB207" s="169"/>
      <c r="AC207" s="169"/>
      <c r="AD207" s="169"/>
      <c r="AE207" s="169"/>
      <c r="AF207" s="169"/>
      <c r="AG207" s="169"/>
      <c r="AH207" s="169"/>
    </row>
    <row r="208" ht="15.75" customHeight="1">
      <c r="A208" s="169"/>
      <c r="B208" s="38" t="s">
        <v>118</v>
      </c>
      <c r="C208" s="191" t="s">
        <v>3399</v>
      </c>
      <c r="D208" s="40" t="s">
        <v>574</v>
      </c>
      <c r="E208" s="40" t="s">
        <v>3378</v>
      </c>
      <c r="F208" s="40" t="s">
        <v>538</v>
      </c>
      <c r="G208" s="39" t="s">
        <v>192</v>
      </c>
      <c r="H208" s="42" t="s">
        <v>3400</v>
      </c>
      <c r="I208" s="188">
        <v>44404.0</v>
      </c>
      <c r="J208" s="188">
        <v>44469.0</v>
      </c>
      <c r="K208" s="189">
        <v>260.0</v>
      </c>
      <c r="L208" s="19"/>
      <c r="M208" s="192" t="s">
        <v>580</v>
      </c>
      <c r="N208" s="119" t="s">
        <v>581</v>
      </c>
      <c r="O208" s="169"/>
      <c r="P208" s="169"/>
      <c r="Q208" s="169"/>
      <c r="R208" s="169"/>
      <c r="S208" s="169"/>
      <c r="T208" s="169"/>
      <c r="U208" s="169"/>
      <c r="V208" s="169"/>
      <c r="W208" s="169"/>
      <c r="X208" s="169"/>
      <c r="Y208" s="169"/>
      <c r="Z208" s="169"/>
      <c r="AA208" s="169"/>
      <c r="AB208" s="169"/>
      <c r="AC208" s="169"/>
      <c r="AD208" s="169"/>
      <c r="AE208" s="169"/>
      <c r="AF208" s="169"/>
      <c r="AG208" s="169"/>
      <c r="AH208" s="169"/>
    </row>
    <row r="209" ht="15.75" customHeight="1">
      <c r="A209" s="169"/>
      <c r="B209" s="38" t="s">
        <v>118</v>
      </c>
      <c r="C209" s="191" t="s">
        <v>3401</v>
      </c>
      <c r="D209" s="40" t="s">
        <v>574</v>
      </c>
      <c r="E209" s="40" t="s">
        <v>3378</v>
      </c>
      <c r="F209" s="40" t="s">
        <v>538</v>
      </c>
      <c r="G209" s="39" t="s">
        <v>192</v>
      </c>
      <c r="H209" s="42" t="s">
        <v>3400</v>
      </c>
      <c r="I209" s="188">
        <v>44552.0</v>
      </c>
      <c r="J209" s="188">
        <v>44617.0</v>
      </c>
      <c r="K209" s="189">
        <v>260.0</v>
      </c>
      <c r="L209" s="19"/>
      <c r="M209" s="192" t="s">
        <v>578</v>
      </c>
      <c r="N209" s="119" t="s">
        <v>579</v>
      </c>
      <c r="O209" s="169"/>
      <c r="P209" s="169"/>
      <c r="Q209" s="169"/>
      <c r="R209" s="169"/>
      <c r="S209" s="169"/>
      <c r="T209" s="169"/>
      <c r="U209" s="169"/>
      <c r="V209" s="169"/>
      <c r="W209" s="169"/>
      <c r="X209" s="169"/>
      <c r="Y209" s="169"/>
      <c r="Z209" s="169"/>
      <c r="AA209" s="169"/>
      <c r="AB209" s="169"/>
      <c r="AC209" s="169"/>
      <c r="AD209" s="169"/>
      <c r="AE209" s="169"/>
      <c r="AF209" s="169"/>
      <c r="AG209" s="169"/>
      <c r="AH209" s="169"/>
    </row>
    <row r="210" ht="15.75" customHeight="1">
      <c r="A210" s="169"/>
      <c r="B210" s="38" t="s">
        <v>118</v>
      </c>
      <c r="C210" s="191" t="s">
        <v>3402</v>
      </c>
      <c r="D210" s="40" t="s">
        <v>574</v>
      </c>
      <c r="E210" s="40" t="s">
        <v>3378</v>
      </c>
      <c r="F210" s="40" t="s">
        <v>538</v>
      </c>
      <c r="G210" s="39" t="s">
        <v>192</v>
      </c>
      <c r="H210" s="42" t="s">
        <v>3403</v>
      </c>
      <c r="I210" s="188">
        <v>44552.0</v>
      </c>
      <c r="J210" s="188">
        <v>44617.0</v>
      </c>
      <c r="K210" s="189">
        <v>260.0</v>
      </c>
      <c r="L210" s="19"/>
      <c r="M210" s="192" t="s">
        <v>576</v>
      </c>
      <c r="N210" s="119" t="s">
        <v>577</v>
      </c>
      <c r="O210" s="169"/>
      <c r="P210" s="169"/>
      <c r="Q210" s="169"/>
      <c r="R210" s="169"/>
      <c r="S210" s="169"/>
      <c r="T210" s="169"/>
      <c r="U210" s="169"/>
      <c r="V210" s="169"/>
      <c r="W210" s="169"/>
      <c r="X210" s="169"/>
      <c r="Y210" s="169"/>
      <c r="Z210" s="169"/>
      <c r="AA210" s="169"/>
      <c r="AB210" s="169"/>
      <c r="AC210" s="169"/>
      <c r="AD210" s="169"/>
      <c r="AE210" s="169"/>
      <c r="AF210" s="169"/>
      <c r="AG210" s="169"/>
      <c r="AH210" s="169"/>
    </row>
    <row r="211" ht="15.75" customHeight="1">
      <c r="A211" s="169"/>
      <c r="B211" s="38" t="s">
        <v>118</v>
      </c>
      <c r="C211" s="191" t="s">
        <v>3404</v>
      </c>
      <c r="D211" s="40" t="s">
        <v>574</v>
      </c>
      <c r="E211" s="40" t="s">
        <v>3378</v>
      </c>
      <c r="F211" s="40" t="s">
        <v>538</v>
      </c>
      <c r="G211" s="39" t="s">
        <v>192</v>
      </c>
      <c r="H211" s="42" t="s">
        <v>3405</v>
      </c>
      <c r="I211" s="188">
        <v>44528.0</v>
      </c>
      <c r="J211" s="188">
        <v>44593.0</v>
      </c>
      <c r="K211" s="189">
        <v>482.0</v>
      </c>
      <c r="L211" s="19"/>
      <c r="M211" s="192" t="s">
        <v>573</v>
      </c>
      <c r="N211" s="119" t="s">
        <v>575</v>
      </c>
      <c r="O211" s="169"/>
      <c r="P211" s="169"/>
      <c r="Q211" s="169"/>
      <c r="R211" s="169"/>
      <c r="S211" s="169"/>
      <c r="T211" s="169"/>
      <c r="U211" s="169"/>
      <c r="V211" s="169"/>
      <c r="W211" s="169"/>
      <c r="X211" s="169"/>
      <c r="Y211" s="169"/>
      <c r="Z211" s="169"/>
      <c r="AA211" s="169"/>
      <c r="AB211" s="169"/>
      <c r="AC211" s="169"/>
      <c r="AD211" s="169"/>
      <c r="AE211" s="169"/>
      <c r="AF211" s="169"/>
      <c r="AG211" s="169"/>
      <c r="AH211" s="169"/>
    </row>
    <row r="212" ht="15.75" customHeight="1">
      <c r="A212" s="169"/>
      <c r="B212" s="38" t="s">
        <v>118</v>
      </c>
      <c r="C212" s="191" t="s">
        <v>3406</v>
      </c>
      <c r="D212" s="40" t="s">
        <v>476</v>
      </c>
      <c r="E212" s="40" t="s">
        <v>3378</v>
      </c>
      <c r="F212" s="40" t="s">
        <v>414</v>
      </c>
      <c r="G212" s="39" t="s">
        <v>192</v>
      </c>
      <c r="H212" s="42" t="s">
        <v>3407</v>
      </c>
      <c r="I212" s="188">
        <v>44803.0</v>
      </c>
      <c r="J212" s="188">
        <v>44865.0</v>
      </c>
      <c r="K212" s="189">
        <v>312.0</v>
      </c>
      <c r="L212" s="19"/>
      <c r="M212" s="192" t="s">
        <v>2893</v>
      </c>
      <c r="N212" s="42"/>
      <c r="O212" s="169"/>
      <c r="P212" s="169"/>
      <c r="Q212" s="169"/>
      <c r="R212" s="169"/>
      <c r="S212" s="169"/>
      <c r="T212" s="169"/>
      <c r="U212" s="169"/>
      <c r="V212" s="169"/>
      <c r="W212" s="169"/>
      <c r="X212" s="169"/>
      <c r="Y212" s="169"/>
      <c r="Z212" s="169"/>
      <c r="AA212" s="169"/>
      <c r="AB212" s="169"/>
      <c r="AC212" s="169"/>
      <c r="AD212" s="169"/>
      <c r="AE212" s="169"/>
      <c r="AF212" s="169"/>
      <c r="AG212" s="169"/>
      <c r="AH212" s="169"/>
    </row>
    <row r="213" ht="15.75" customHeight="1">
      <c r="A213" s="169"/>
      <c r="B213" s="38" t="s">
        <v>118</v>
      </c>
      <c r="C213" s="191" t="s">
        <v>3408</v>
      </c>
      <c r="D213" s="40" t="s">
        <v>3409</v>
      </c>
      <c r="E213" s="40" t="s">
        <v>3378</v>
      </c>
      <c r="F213" s="40" t="s">
        <v>623</v>
      </c>
      <c r="G213" s="39" t="s">
        <v>255</v>
      </c>
      <c r="H213" s="110" t="s">
        <v>3410</v>
      </c>
      <c r="I213" s="188">
        <v>44228.0</v>
      </c>
      <c r="J213" s="188">
        <v>44293.0</v>
      </c>
      <c r="K213" s="189">
        <v>483.0</v>
      </c>
      <c r="L213" s="19"/>
      <c r="M213" s="192" t="s">
        <v>2893</v>
      </c>
      <c r="N213" s="193"/>
      <c r="O213" s="169"/>
      <c r="P213" s="169"/>
      <c r="Q213" s="169"/>
      <c r="R213" s="169"/>
      <c r="S213" s="169"/>
      <c r="T213" s="169"/>
      <c r="U213" s="169"/>
      <c r="V213" s="169"/>
      <c r="W213" s="169"/>
      <c r="X213" s="169"/>
      <c r="Y213" s="169"/>
      <c r="Z213" s="169"/>
      <c r="AA213" s="169"/>
      <c r="AB213" s="169"/>
      <c r="AC213" s="169"/>
      <c r="AD213" s="169"/>
      <c r="AE213" s="169"/>
      <c r="AF213" s="169"/>
      <c r="AG213" s="169"/>
      <c r="AH213" s="169"/>
    </row>
    <row r="214" ht="15.75" customHeight="1">
      <c r="A214" s="169"/>
      <c r="B214" s="38" t="s">
        <v>118</v>
      </c>
      <c r="C214" s="191" t="s">
        <v>3411</v>
      </c>
      <c r="D214" s="40" t="s">
        <v>3412</v>
      </c>
      <c r="E214" s="40" t="s">
        <v>3378</v>
      </c>
      <c r="F214" s="40" t="s">
        <v>538</v>
      </c>
      <c r="G214" s="39" t="s">
        <v>255</v>
      </c>
      <c r="H214" s="42" t="s">
        <v>3413</v>
      </c>
      <c r="I214" s="188">
        <v>44404.0</v>
      </c>
      <c r="J214" s="188">
        <v>44469.0</v>
      </c>
      <c r="K214" s="189">
        <v>538.0</v>
      </c>
      <c r="L214" s="19"/>
      <c r="M214" s="192" t="s">
        <v>3414</v>
      </c>
      <c r="N214" s="42" t="s">
        <v>3415</v>
      </c>
      <c r="O214" s="169"/>
      <c r="P214" s="169"/>
      <c r="Q214" s="169"/>
      <c r="R214" s="169"/>
      <c r="S214" s="169"/>
      <c r="T214" s="169"/>
      <c r="U214" s="169"/>
      <c r="V214" s="169"/>
      <c r="W214" s="169"/>
      <c r="X214" s="169"/>
      <c r="Y214" s="169"/>
      <c r="Z214" s="169"/>
      <c r="AA214" s="169"/>
      <c r="AB214" s="169"/>
      <c r="AC214" s="169"/>
      <c r="AD214" s="169"/>
      <c r="AE214" s="169"/>
      <c r="AF214" s="169"/>
      <c r="AG214" s="169"/>
      <c r="AH214" s="169"/>
    </row>
    <row r="215" ht="15.75" customHeight="1">
      <c r="A215" s="169"/>
      <c r="B215" s="38" t="s">
        <v>118</v>
      </c>
      <c r="C215" s="191" t="s">
        <v>3416</v>
      </c>
      <c r="D215" s="40" t="s">
        <v>719</v>
      </c>
      <c r="E215" s="40" t="s">
        <v>3378</v>
      </c>
      <c r="F215" s="40" t="s">
        <v>623</v>
      </c>
      <c r="G215" s="39" t="s">
        <v>18</v>
      </c>
      <c r="H215" s="42" t="s">
        <v>3417</v>
      </c>
      <c r="I215" s="188">
        <v>43830.0</v>
      </c>
      <c r="J215" s="188">
        <v>43895.0</v>
      </c>
      <c r="K215" s="189">
        <v>260.0</v>
      </c>
      <c r="L215" s="19"/>
      <c r="M215" s="192" t="s">
        <v>807</v>
      </c>
      <c r="N215" s="119" t="s">
        <v>808</v>
      </c>
      <c r="O215" s="169"/>
      <c r="P215" s="169"/>
      <c r="Q215" s="169"/>
      <c r="R215" s="169"/>
      <c r="S215" s="169"/>
      <c r="T215" s="169"/>
      <c r="U215" s="169"/>
      <c r="V215" s="169"/>
      <c r="W215" s="169"/>
      <c r="X215" s="169"/>
      <c r="Y215" s="169"/>
      <c r="Z215" s="169"/>
      <c r="AA215" s="169"/>
      <c r="AB215" s="169"/>
      <c r="AC215" s="169"/>
      <c r="AD215" s="169"/>
      <c r="AE215" s="169"/>
      <c r="AF215" s="169"/>
      <c r="AG215" s="169"/>
      <c r="AH215" s="169"/>
    </row>
    <row r="216" ht="15.75" customHeight="1">
      <c r="A216" s="169"/>
      <c r="B216" s="38" t="s">
        <v>118</v>
      </c>
      <c r="C216" s="191" t="s">
        <v>3418</v>
      </c>
      <c r="D216" s="40" t="s">
        <v>719</v>
      </c>
      <c r="E216" s="40" t="s">
        <v>3378</v>
      </c>
      <c r="F216" s="40" t="s">
        <v>623</v>
      </c>
      <c r="G216" s="39" t="s">
        <v>18</v>
      </c>
      <c r="H216" s="42" t="s">
        <v>3419</v>
      </c>
      <c r="I216" s="188">
        <v>43830.0</v>
      </c>
      <c r="J216" s="188">
        <v>43895.0</v>
      </c>
      <c r="K216" s="189">
        <v>260.0</v>
      </c>
      <c r="L216" s="19"/>
      <c r="M216" s="192" t="s">
        <v>803</v>
      </c>
      <c r="N216" s="119" t="s">
        <v>804</v>
      </c>
      <c r="O216" s="169"/>
      <c r="P216" s="169"/>
      <c r="Q216" s="169"/>
      <c r="R216" s="169"/>
      <c r="S216" s="169"/>
      <c r="T216" s="169"/>
      <c r="U216" s="169"/>
      <c r="V216" s="169"/>
      <c r="W216" s="169"/>
      <c r="X216" s="169"/>
      <c r="Y216" s="169"/>
      <c r="Z216" s="169"/>
      <c r="AA216" s="169"/>
      <c r="AB216" s="169"/>
      <c r="AC216" s="169"/>
      <c r="AD216" s="169"/>
      <c r="AE216" s="169"/>
      <c r="AF216" s="169"/>
      <c r="AG216" s="169"/>
      <c r="AH216" s="169"/>
    </row>
    <row r="217" ht="15.75" customHeight="1">
      <c r="A217" s="169"/>
      <c r="B217" s="38" t="s">
        <v>118</v>
      </c>
      <c r="C217" s="191" t="s">
        <v>3420</v>
      </c>
      <c r="D217" s="40" t="s">
        <v>719</v>
      </c>
      <c r="E217" s="40" t="s">
        <v>3378</v>
      </c>
      <c r="F217" s="40" t="s">
        <v>623</v>
      </c>
      <c r="G217" s="39" t="s">
        <v>18</v>
      </c>
      <c r="H217" s="42" t="s">
        <v>3421</v>
      </c>
      <c r="I217" s="188">
        <v>44160.0</v>
      </c>
      <c r="J217" s="188">
        <v>44225.0</v>
      </c>
      <c r="K217" s="189">
        <v>260.0</v>
      </c>
      <c r="L217" s="19"/>
      <c r="M217" s="192" t="s">
        <v>3422</v>
      </c>
      <c r="N217" s="42" t="s">
        <v>804</v>
      </c>
      <c r="O217" s="169"/>
      <c r="P217" s="169"/>
      <c r="Q217" s="169"/>
      <c r="R217" s="169"/>
      <c r="S217" s="169"/>
      <c r="T217" s="169"/>
      <c r="U217" s="169"/>
      <c r="V217" s="169"/>
      <c r="W217" s="169"/>
      <c r="X217" s="169"/>
      <c r="Y217" s="169"/>
      <c r="Z217" s="169"/>
      <c r="AA217" s="169"/>
      <c r="AB217" s="169"/>
      <c r="AC217" s="169"/>
      <c r="AD217" s="169"/>
      <c r="AE217" s="169"/>
      <c r="AF217" s="169"/>
      <c r="AG217" s="169"/>
      <c r="AH217" s="169"/>
    </row>
    <row r="218" ht="15.75" customHeight="1">
      <c r="A218" s="169"/>
      <c r="B218" s="38" t="s">
        <v>118</v>
      </c>
      <c r="C218" s="191" t="s">
        <v>3422</v>
      </c>
      <c r="D218" s="40" t="s">
        <v>719</v>
      </c>
      <c r="E218" s="40" t="s">
        <v>3378</v>
      </c>
      <c r="F218" s="40" t="s">
        <v>623</v>
      </c>
      <c r="G218" s="39" t="s">
        <v>18</v>
      </c>
      <c r="H218" s="48" t="s">
        <v>3423</v>
      </c>
      <c r="I218" s="188">
        <v>44742.0</v>
      </c>
      <c r="J218" s="188">
        <v>44803.0</v>
      </c>
      <c r="K218" s="189">
        <v>260.0</v>
      </c>
      <c r="L218" s="19"/>
      <c r="M218" s="192" t="s">
        <v>2893</v>
      </c>
      <c r="N218" s="42"/>
      <c r="O218" s="169"/>
      <c r="P218" s="169"/>
      <c r="Q218" s="169"/>
      <c r="R218" s="169"/>
      <c r="S218" s="169"/>
      <c r="T218" s="169"/>
      <c r="U218" s="169"/>
      <c r="V218" s="169"/>
      <c r="W218" s="169"/>
      <c r="X218" s="169"/>
      <c r="Y218" s="169"/>
      <c r="Z218" s="169"/>
      <c r="AA218" s="169"/>
      <c r="AB218" s="169"/>
      <c r="AC218" s="169"/>
      <c r="AD218" s="169"/>
      <c r="AE218" s="169"/>
      <c r="AF218" s="169"/>
      <c r="AG218" s="169"/>
      <c r="AH218" s="169"/>
    </row>
    <row r="219" ht="15.75" customHeight="1">
      <c r="A219" s="169"/>
      <c r="B219" s="38" t="s">
        <v>118</v>
      </c>
      <c r="C219" s="191" t="s">
        <v>3424</v>
      </c>
      <c r="D219" s="40" t="s">
        <v>719</v>
      </c>
      <c r="E219" s="40" t="s">
        <v>3378</v>
      </c>
      <c r="F219" s="40" t="s">
        <v>623</v>
      </c>
      <c r="G219" s="39" t="s">
        <v>18</v>
      </c>
      <c r="H219" s="48" t="s">
        <v>3425</v>
      </c>
      <c r="I219" s="188">
        <v>44742.0</v>
      </c>
      <c r="J219" s="188">
        <v>44773.0</v>
      </c>
      <c r="K219" s="189">
        <v>260.0</v>
      </c>
      <c r="L219" s="19"/>
      <c r="M219" s="192" t="s">
        <v>2893</v>
      </c>
      <c r="N219" s="42"/>
      <c r="O219" s="169"/>
      <c r="P219" s="169"/>
      <c r="Q219" s="169"/>
      <c r="R219" s="169"/>
      <c r="S219" s="169"/>
      <c r="T219" s="169"/>
      <c r="U219" s="169"/>
      <c r="V219" s="169"/>
      <c r="W219" s="169"/>
      <c r="X219" s="169"/>
      <c r="Y219" s="169"/>
      <c r="Z219" s="169"/>
      <c r="AA219" s="169"/>
      <c r="AB219" s="169"/>
      <c r="AC219" s="169"/>
      <c r="AD219" s="169"/>
      <c r="AE219" s="169"/>
      <c r="AF219" s="169"/>
      <c r="AG219" s="169"/>
      <c r="AH219" s="169"/>
    </row>
    <row r="220" ht="15.75" customHeight="1">
      <c r="A220" s="169"/>
      <c r="B220" s="38" t="s">
        <v>118</v>
      </c>
      <c r="C220" s="191" t="s">
        <v>3426</v>
      </c>
      <c r="D220" s="40" t="s">
        <v>719</v>
      </c>
      <c r="E220" s="40" t="s">
        <v>3378</v>
      </c>
      <c r="F220" s="40" t="s">
        <v>623</v>
      </c>
      <c r="G220" s="40" t="s">
        <v>18</v>
      </c>
      <c r="H220" s="42" t="s">
        <v>3427</v>
      </c>
      <c r="I220" s="188">
        <v>43801.0</v>
      </c>
      <c r="J220" s="188">
        <v>43866.0</v>
      </c>
      <c r="K220" s="189">
        <v>390.0</v>
      </c>
      <c r="L220" s="19"/>
      <c r="M220" s="192" t="s">
        <v>799</v>
      </c>
      <c r="N220" s="119" t="s">
        <v>800</v>
      </c>
      <c r="O220" s="169"/>
      <c r="P220" s="169"/>
      <c r="Q220" s="169"/>
      <c r="R220" s="169"/>
      <c r="S220" s="169"/>
      <c r="T220" s="169"/>
      <c r="U220" s="169"/>
      <c r="V220" s="169"/>
      <c r="W220" s="169"/>
      <c r="X220" s="169"/>
      <c r="Y220" s="169"/>
      <c r="Z220" s="169"/>
      <c r="AA220" s="169"/>
      <c r="AB220" s="169"/>
      <c r="AC220" s="169"/>
      <c r="AD220" s="169"/>
      <c r="AE220" s="169"/>
      <c r="AF220" s="169"/>
      <c r="AG220" s="169"/>
      <c r="AH220" s="169"/>
    </row>
    <row r="221" ht="15.75" customHeight="1">
      <c r="A221" s="169"/>
      <c r="B221" s="38" t="s">
        <v>118</v>
      </c>
      <c r="C221" s="191" t="s">
        <v>3428</v>
      </c>
      <c r="D221" s="40" t="s">
        <v>565</v>
      </c>
      <c r="E221" s="40" t="s">
        <v>3378</v>
      </c>
      <c r="F221" s="40" t="s">
        <v>538</v>
      </c>
      <c r="G221" s="40" t="s">
        <v>18</v>
      </c>
      <c r="H221" s="42" t="s">
        <v>3429</v>
      </c>
      <c r="I221" s="188">
        <v>44613.0</v>
      </c>
      <c r="J221" s="188">
        <v>44678.0</v>
      </c>
      <c r="K221" s="189">
        <v>286.0</v>
      </c>
      <c r="L221" s="19"/>
      <c r="M221" s="192" t="s">
        <v>571</v>
      </c>
      <c r="N221" s="119" t="s">
        <v>572</v>
      </c>
      <c r="O221" s="169"/>
      <c r="P221" s="169"/>
      <c r="Q221" s="169"/>
      <c r="R221" s="169"/>
      <c r="S221" s="169"/>
      <c r="T221" s="169"/>
      <c r="U221" s="169"/>
      <c r="V221" s="169"/>
      <c r="W221" s="169"/>
      <c r="X221" s="169"/>
      <c r="Y221" s="169"/>
      <c r="Z221" s="169"/>
      <c r="AA221" s="169"/>
      <c r="AB221" s="169"/>
      <c r="AC221" s="169"/>
      <c r="AD221" s="169"/>
      <c r="AE221" s="169"/>
      <c r="AF221" s="169"/>
      <c r="AG221" s="169"/>
      <c r="AH221" s="169"/>
    </row>
    <row r="222" ht="15.75" customHeight="1">
      <c r="A222" s="169"/>
      <c r="B222" s="38" t="s">
        <v>118</v>
      </c>
      <c r="C222" s="191" t="s">
        <v>3430</v>
      </c>
      <c r="D222" s="40" t="s">
        <v>565</v>
      </c>
      <c r="E222" s="40" t="s">
        <v>3378</v>
      </c>
      <c r="F222" s="40" t="s">
        <v>538</v>
      </c>
      <c r="G222" s="39" t="s">
        <v>18</v>
      </c>
      <c r="H222" s="42" t="s">
        <v>3431</v>
      </c>
      <c r="I222" s="188">
        <v>44552.0</v>
      </c>
      <c r="J222" s="188">
        <v>44617.0</v>
      </c>
      <c r="K222" s="189">
        <v>286.0</v>
      </c>
      <c r="L222" s="19"/>
      <c r="M222" s="192" t="s">
        <v>569</v>
      </c>
      <c r="N222" s="119" t="s">
        <v>570</v>
      </c>
      <c r="O222" s="169"/>
      <c r="P222" s="169"/>
      <c r="Q222" s="169"/>
      <c r="R222" s="169"/>
      <c r="S222" s="169"/>
      <c r="T222" s="169"/>
      <c r="U222" s="169"/>
      <c r="V222" s="169"/>
      <c r="W222" s="169"/>
      <c r="X222" s="169"/>
      <c r="Y222" s="169"/>
      <c r="Z222" s="169"/>
      <c r="AA222" s="169"/>
      <c r="AB222" s="169"/>
      <c r="AC222" s="169"/>
      <c r="AD222" s="169"/>
      <c r="AE222" s="169"/>
      <c r="AF222" s="169"/>
      <c r="AG222" s="169"/>
      <c r="AH222" s="169"/>
    </row>
    <row r="223" ht="15.75" customHeight="1">
      <c r="A223" s="169"/>
      <c r="B223" s="38" t="s">
        <v>118</v>
      </c>
      <c r="C223" s="191" t="s">
        <v>3432</v>
      </c>
      <c r="D223" s="40" t="s">
        <v>565</v>
      </c>
      <c r="E223" s="40" t="s">
        <v>3378</v>
      </c>
      <c r="F223" s="40" t="s">
        <v>538</v>
      </c>
      <c r="G223" s="39" t="s">
        <v>18</v>
      </c>
      <c r="H223" s="42" t="s">
        <v>3433</v>
      </c>
      <c r="I223" s="188">
        <v>44552.0</v>
      </c>
      <c r="J223" s="188">
        <v>44617.0</v>
      </c>
      <c r="K223" s="189">
        <v>286.0</v>
      </c>
      <c r="L223" s="19"/>
      <c r="M223" s="192" t="s">
        <v>567</v>
      </c>
      <c r="N223" s="119" t="s">
        <v>568</v>
      </c>
      <c r="O223" s="169"/>
      <c r="P223" s="169"/>
      <c r="Q223" s="169"/>
      <c r="R223" s="169"/>
      <c r="S223" s="169"/>
      <c r="T223" s="169"/>
      <c r="U223" s="169"/>
      <c r="V223" s="169"/>
      <c r="W223" s="169"/>
      <c r="X223" s="169"/>
      <c r="Y223" s="169"/>
      <c r="Z223" s="169"/>
      <c r="AA223" s="169"/>
      <c r="AB223" s="169"/>
      <c r="AC223" s="169"/>
      <c r="AD223" s="169"/>
      <c r="AE223" s="169"/>
      <c r="AF223" s="169"/>
      <c r="AG223" s="169"/>
      <c r="AH223" s="169"/>
    </row>
    <row r="224" ht="15.75" customHeight="1">
      <c r="A224" s="169"/>
      <c r="B224" s="38" t="s">
        <v>118</v>
      </c>
      <c r="C224" s="191" t="s">
        <v>3434</v>
      </c>
      <c r="D224" s="40" t="s">
        <v>565</v>
      </c>
      <c r="E224" s="40" t="s">
        <v>3378</v>
      </c>
      <c r="F224" s="40" t="s">
        <v>538</v>
      </c>
      <c r="G224" s="39" t="s">
        <v>18</v>
      </c>
      <c r="H224" s="42" t="s">
        <v>3435</v>
      </c>
      <c r="I224" s="188">
        <v>44552.0</v>
      </c>
      <c r="J224" s="188">
        <v>44617.0</v>
      </c>
      <c r="K224" s="189">
        <v>538.0</v>
      </c>
      <c r="L224" s="19"/>
      <c r="M224" s="192" t="s">
        <v>564</v>
      </c>
      <c r="N224" s="119" t="s">
        <v>566</v>
      </c>
      <c r="O224" s="169"/>
      <c r="P224" s="169"/>
      <c r="Q224" s="169"/>
      <c r="R224" s="169"/>
      <c r="S224" s="169"/>
      <c r="T224" s="169"/>
      <c r="U224" s="169"/>
      <c r="V224" s="169"/>
      <c r="W224" s="169"/>
      <c r="X224" s="169"/>
      <c r="Y224" s="169"/>
      <c r="Z224" s="169"/>
      <c r="AA224" s="169"/>
      <c r="AB224" s="169"/>
      <c r="AC224" s="169"/>
      <c r="AD224" s="169"/>
      <c r="AE224" s="169"/>
      <c r="AF224" s="169"/>
      <c r="AG224" s="169"/>
      <c r="AH224" s="169"/>
    </row>
    <row r="225" ht="15.75" customHeight="1">
      <c r="A225" s="169"/>
      <c r="B225" s="38" t="s">
        <v>118</v>
      </c>
      <c r="C225" s="191" t="s">
        <v>3436</v>
      </c>
      <c r="D225" s="40" t="s">
        <v>464</v>
      </c>
      <c r="E225" s="40" t="s">
        <v>3378</v>
      </c>
      <c r="F225" s="40" t="s">
        <v>414</v>
      </c>
      <c r="G225" s="39" t="s">
        <v>18</v>
      </c>
      <c r="H225" s="48" t="s">
        <v>3437</v>
      </c>
      <c r="I225" s="188">
        <v>44742.0</v>
      </c>
      <c r="J225" s="188">
        <v>44803.0</v>
      </c>
      <c r="K225" s="189">
        <v>344.0</v>
      </c>
      <c r="L225" s="19"/>
      <c r="M225" s="192" t="s">
        <v>2893</v>
      </c>
      <c r="N225" s="42"/>
      <c r="O225" s="169"/>
      <c r="P225" s="169"/>
      <c r="Q225" s="169"/>
      <c r="R225" s="169"/>
      <c r="S225" s="169"/>
      <c r="T225" s="169"/>
      <c r="U225" s="169"/>
      <c r="V225" s="169"/>
      <c r="W225" s="169"/>
      <c r="X225" s="169"/>
      <c r="Y225" s="169"/>
      <c r="Z225" s="169"/>
      <c r="AA225" s="169"/>
      <c r="AB225" s="169"/>
      <c r="AC225" s="169"/>
      <c r="AD225" s="169"/>
      <c r="AE225" s="169"/>
      <c r="AF225" s="169"/>
      <c r="AG225" s="169"/>
      <c r="AH225" s="169"/>
    </row>
    <row r="226" ht="15.75" customHeight="1">
      <c r="A226" s="169"/>
      <c r="B226" s="38" t="s">
        <v>118</v>
      </c>
      <c r="C226" s="191" t="s">
        <v>3438</v>
      </c>
      <c r="D226" s="40" t="s">
        <v>3439</v>
      </c>
      <c r="E226" s="40" t="s">
        <v>3378</v>
      </c>
      <c r="F226" s="40" t="s">
        <v>623</v>
      </c>
      <c r="G226" s="39" t="s">
        <v>213</v>
      </c>
      <c r="H226" s="42" t="s">
        <v>3440</v>
      </c>
      <c r="I226" s="188">
        <v>44494.0</v>
      </c>
      <c r="J226" s="188">
        <v>44559.0</v>
      </c>
      <c r="K226" s="189">
        <v>1272.0</v>
      </c>
      <c r="L226" s="19"/>
      <c r="M226" s="192" t="s">
        <v>855</v>
      </c>
      <c r="N226" s="119" t="s">
        <v>857</v>
      </c>
      <c r="O226" s="169"/>
      <c r="P226" s="169"/>
      <c r="Q226" s="169"/>
      <c r="R226" s="169"/>
      <c r="S226" s="169"/>
      <c r="T226" s="169"/>
      <c r="U226" s="169"/>
      <c r="V226" s="169"/>
      <c r="W226" s="169"/>
      <c r="X226" s="169"/>
      <c r="Y226" s="169"/>
      <c r="Z226" s="169"/>
      <c r="AA226" s="169"/>
      <c r="AB226" s="169"/>
      <c r="AC226" s="169"/>
      <c r="AD226" s="169"/>
      <c r="AE226" s="169"/>
      <c r="AF226" s="169"/>
      <c r="AG226" s="169"/>
      <c r="AH226" s="169"/>
    </row>
    <row r="227" ht="15.75" customHeight="1">
      <c r="A227" s="169"/>
      <c r="B227" s="38" t="s">
        <v>118</v>
      </c>
      <c r="C227" s="191" t="s">
        <v>3441</v>
      </c>
      <c r="D227" s="40" t="s">
        <v>3439</v>
      </c>
      <c r="E227" s="40" t="s">
        <v>3378</v>
      </c>
      <c r="F227" s="40" t="s">
        <v>623</v>
      </c>
      <c r="G227" s="39" t="s">
        <v>213</v>
      </c>
      <c r="H227" s="42" t="s">
        <v>3442</v>
      </c>
      <c r="I227" s="188">
        <v>44494.0</v>
      </c>
      <c r="J227" s="188">
        <v>44559.0</v>
      </c>
      <c r="K227" s="189">
        <v>1441.0</v>
      </c>
      <c r="L227" s="19"/>
      <c r="M227" s="192" t="s">
        <v>861</v>
      </c>
      <c r="N227" s="119" t="s">
        <v>862</v>
      </c>
      <c r="O227" s="169"/>
      <c r="P227" s="169"/>
      <c r="Q227" s="169"/>
      <c r="R227" s="169"/>
      <c r="S227" s="169"/>
      <c r="T227" s="169"/>
      <c r="U227" s="169"/>
      <c r="V227" s="169"/>
      <c r="W227" s="169"/>
      <c r="X227" s="169"/>
      <c r="Y227" s="169"/>
      <c r="Z227" s="169"/>
      <c r="AA227" s="169"/>
      <c r="AB227" s="169"/>
      <c r="AC227" s="169"/>
      <c r="AD227" s="169"/>
      <c r="AE227" s="169"/>
      <c r="AF227" s="169"/>
      <c r="AG227" s="169"/>
      <c r="AH227" s="169"/>
    </row>
    <row r="228" ht="15.75" customHeight="1">
      <c r="A228" s="169"/>
      <c r="B228" s="38" t="s">
        <v>118</v>
      </c>
      <c r="C228" s="191" t="s">
        <v>3443</v>
      </c>
      <c r="D228" s="40" t="s">
        <v>3444</v>
      </c>
      <c r="E228" s="40" t="s">
        <v>3378</v>
      </c>
      <c r="F228" s="40" t="s">
        <v>623</v>
      </c>
      <c r="G228" s="39" t="s">
        <v>213</v>
      </c>
      <c r="H228" s="42" t="s">
        <v>3445</v>
      </c>
      <c r="I228" s="188">
        <v>44646.0</v>
      </c>
      <c r="J228" s="188">
        <v>44711.0</v>
      </c>
      <c r="K228" s="189">
        <v>1700.0</v>
      </c>
      <c r="L228" s="19"/>
      <c r="M228" s="192" t="s">
        <v>858</v>
      </c>
      <c r="N228" s="119" t="s">
        <v>860</v>
      </c>
      <c r="O228" s="169"/>
      <c r="P228" s="169"/>
      <c r="Q228" s="169"/>
      <c r="R228" s="169"/>
      <c r="S228" s="169"/>
      <c r="T228" s="169"/>
      <c r="U228" s="169"/>
      <c r="V228" s="169"/>
      <c r="W228" s="169"/>
      <c r="X228" s="169"/>
      <c r="Y228" s="169"/>
      <c r="Z228" s="169"/>
      <c r="AA228" s="169"/>
      <c r="AB228" s="169"/>
      <c r="AC228" s="169"/>
      <c r="AD228" s="169"/>
      <c r="AE228" s="169"/>
      <c r="AF228" s="169"/>
      <c r="AG228" s="169"/>
      <c r="AH228" s="169"/>
    </row>
    <row r="229" ht="15.75" customHeight="1">
      <c r="A229" s="169"/>
      <c r="B229" s="38" t="s">
        <v>118</v>
      </c>
      <c r="C229" s="191" t="s">
        <v>3446</v>
      </c>
      <c r="D229" s="40" t="s">
        <v>830</v>
      </c>
      <c r="E229" s="40" t="s">
        <v>3378</v>
      </c>
      <c r="F229" s="40" t="s">
        <v>623</v>
      </c>
      <c r="G229" s="40" t="s">
        <v>184</v>
      </c>
      <c r="H229" s="42" t="s">
        <v>3447</v>
      </c>
      <c r="I229" s="188">
        <v>43801.0</v>
      </c>
      <c r="J229" s="188">
        <v>43866.0</v>
      </c>
      <c r="K229" s="189">
        <v>260.0</v>
      </c>
      <c r="L229" s="19"/>
      <c r="M229" s="192" t="s">
        <v>841</v>
      </c>
      <c r="N229" s="119" t="s">
        <v>842</v>
      </c>
      <c r="O229" s="169"/>
      <c r="P229" s="169"/>
      <c r="Q229" s="169"/>
      <c r="R229" s="169"/>
      <c r="S229" s="169"/>
      <c r="T229" s="169"/>
      <c r="U229" s="169"/>
      <c r="V229" s="169"/>
      <c r="W229" s="169"/>
      <c r="X229" s="169"/>
      <c r="Y229" s="169"/>
      <c r="Z229" s="169"/>
      <c r="AA229" s="169"/>
      <c r="AB229" s="169"/>
      <c r="AC229" s="169"/>
      <c r="AD229" s="169"/>
      <c r="AE229" s="169"/>
      <c r="AF229" s="169"/>
      <c r="AG229" s="169"/>
      <c r="AH229" s="169"/>
    </row>
    <row r="230" ht="15.75" customHeight="1">
      <c r="A230" s="169"/>
      <c r="B230" s="38" t="s">
        <v>118</v>
      </c>
      <c r="C230" s="191" t="s">
        <v>3448</v>
      </c>
      <c r="D230" s="40" t="s">
        <v>830</v>
      </c>
      <c r="E230" s="40" t="s">
        <v>3378</v>
      </c>
      <c r="F230" s="40" t="s">
        <v>623</v>
      </c>
      <c r="G230" s="39" t="s">
        <v>184</v>
      </c>
      <c r="H230" s="42" t="s">
        <v>3449</v>
      </c>
      <c r="I230" s="188">
        <v>43830.0</v>
      </c>
      <c r="J230" s="188">
        <v>43895.0</v>
      </c>
      <c r="K230" s="189">
        <v>260.0</v>
      </c>
      <c r="L230" s="19"/>
      <c r="M230" s="192" t="s">
        <v>837</v>
      </c>
      <c r="N230" s="119" t="s">
        <v>838</v>
      </c>
      <c r="O230" s="169"/>
      <c r="P230" s="169"/>
      <c r="Q230" s="169"/>
      <c r="R230" s="169"/>
      <c r="S230" s="169"/>
      <c r="T230" s="169"/>
      <c r="U230" s="169"/>
      <c r="V230" s="169"/>
      <c r="W230" s="169"/>
      <c r="X230" s="169"/>
      <c r="Y230" s="169"/>
      <c r="Z230" s="169"/>
      <c r="AA230" s="169"/>
      <c r="AB230" s="169"/>
      <c r="AC230" s="169"/>
      <c r="AD230" s="169"/>
      <c r="AE230" s="169"/>
      <c r="AF230" s="169"/>
      <c r="AG230" s="169"/>
      <c r="AH230" s="169"/>
    </row>
    <row r="231" ht="15.75" customHeight="1">
      <c r="A231" s="169"/>
      <c r="B231" s="38" t="s">
        <v>118</v>
      </c>
      <c r="C231" s="191" t="s">
        <v>3450</v>
      </c>
      <c r="D231" s="40" t="s">
        <v>830</v>
      </c>
      <c r="E231" s="40" t="s">
        <v>3378</v>
      </c>
      <c r="F231" s="40" t="s">
        <v>623</v>
      </c>
      <c r="G231" s="39" t="s">
        <v>184</v>
      </c>
      <c r="H231" s="42" t="s">
        <v>3451</v>
      </c>
      <c r="I231" s="188">
        <v>44461.0</v>
      </c>
      <c r="J231" s="188">
        <v>44526.0</v>
      </c>
      <c r="K231" s="189">
        <v>260.0</v>
      </c>
      <c r="L231" s="19"/>
      <c r="M231" s="192" t="s">
        <v>3452</v>
      </c>
      <c r="N231" s="42" t="s">
        <v>838</v>
      </c>
      <c r="O231" s="169"/>
      <c r="P231" s="169"/>
      <c r="Q231" s="169"/>
      <c r="R231" s="169"/>
      <c r="S231" s="169"/>
      <c r="T231" s="169"/>
      <c r="U231" s="169"/>
      <c r="V231" s="169"/>
      <c r="W231" s="169"/>
      <c r="X231" s="169"/>
      <c r="Y231" s="169"/>
      <c r="Z231" s="169"/>
      <c r="AA231" s="169"/>
      <c r="AB231" s="169"/>
      <c r="AC231" s="169"/>
      <c r="AD231" s="169"/>
      <c r="AE231" s="169"/>
      <c r="AF231" s="169"/>
      <c r="AG231" s="169"/>
      <c r="AH231" s="169"/>
    </row>
    <row r="232" ht="15.75" customHeight="1">
      <c r="A232" s="169"/>
      <c r="B232" s="38" t="s">
        <v>118</v>
      </c>
      <c r="C232" s="191" t="s">
        <v>3452</v>
      </c>
      <c r="D232" s="40" t="s">
        <v>830</v>
      </c>
      <c r="E232" s="40" t="s">
        <v>3378</v>
      </c>
      <c r="F232" s="40" t="s">
        <v>623</v>
      </c>
      <c r="G232" s="39" t="s">
        <v>184</v>
      </c>
      <c r="H232" s="48" t="s">
        <v>3453</v>
      </c>
      <c r="I232" s="188">
        <v>44742.0</v>
      </c>
      <c r="J232" s="188">
        <v>45535.0</v>
      </c>
      <c r="K232" s="189">
        <v>260.0</v>
      </c>
      <c r="L232" s="19"/>
      <c r="M232" s="192" t="s">
        <v>2893</v>
      </c>
      <c r="N232" s="42"/>
      <c r="O232" s="169"/>
      <c r="P232" s="169"/>
      <c r="Q232" s="169"/>
      <c r="R232" s="169"/>
      <c r="S232" s="169"/>
      <c r="T232" s="169"/>
      <c r="U232" s="169"/>
      <c r="V232" s="169"/>
      <c r="W232" s="169"/>
      <c r="X232" s="169"/>
      <c r="Y232" s="169"/>
      <c r="Z232" s="169"/>
      <c r="AA232" s="169"/>
      <c r="AB232" s="169"/>
      <c r="AC232" s="169"/>
      <c r="AD232" s="169"/>
      <c r="AE232" s="169"/>
      <c r="AF232" s="169"/>
      <c r="AG232" s="169"/>
      <c r="AH232" s="169"/>
    </row>
    <row r="233" ht="15.75" customHeight="1">
      <c r="A233" s="169"/>
      <c r="B233" s="38" t="s">
        <v>118</v>
      </c>
      <c r="C233" s="191" t="s">
        <v>3454</v>
      </c>
      <c r="D233" s="40" t="s">
        <v>830</v>
      </c>
      <c r="E233" s="40" t="s">
        <v>3378</v>
      </c>
      <c r="F233" s="40" t="s">
        <v>623</v>
      </c>
      <c r="G233" s="39" t="s">
        <v>184</v>
      </c>
      <c r="H233" s="48" t="s">
        <v>3455</v>
      </c>
      <c r="I233" s="188">
        <v>44742.0</v>
      </c>
      <c r="J233" s="188">
        <v>44833.0</v>
      </c>
      <c r="K233" s="189">
        <v>260.0</v>
      </c>
      <c r="L233" s="19"/>
      <c r="M233" s="192" t="s">
        <v>2893</v>
      </c>
      <c r="N233" s="42"/>
      <c r="O233" s="169"/>
      <c r="P233" s="169"/>
      <c r="Q233" s="169"/>
      <c r="R233" s="169"/>
      <c r="S233" s="169"/>
      <c r="T233" s="169"/>
      <c r="U233" s="169"/>
      <c r="V233" s="169"/>
      <c r="W233" s="169"/>
      <c r="X233" s="169"/>
      <c r="Y233" s="169"/>
      <c r="Z233" s="169"/>
      <c r="AA233" s="169"/>
      <c r="AB233" s="169"/>
      <c r="AC233" s="169"/>
      <c r="AD233" s="169"/>
      <c r="AE233" s="169"/>
      <c r="AF233" s="169"/>
      <c r="AG233" s="169"/>
      <c r="AH233" s="169"/>
    </row>
    <row r="234" ht="15.75" customHeight="1">
      <c r="A234" s="169"/>
      <c r="B234" s="38" t="s">
        <v>118</v>
      </c>
      <c r="C234" s="191" t="s">
        <v>3456</v>
      </c>
      <c r="D234" s="40" t="s">
        <v>830</v>
      </c>
      <c r="E234" s="40" t="s">
        <v>3378</v>
      </c>
      <c r="F234" s="40" t="s">
        <v>623</v>
      </c>
      <c r="G234" s="39" t="s">
        <v>184</v>
      </c>
      <c r="H234" s="42" t="s">
        <v>3457</v>
      </c>
      <c r="I234" s="188">
        <v>43830.0</v>
      </c>
      <c r="J234" s="188">
        <v>43895.0</v>
      </c>
      <c r="K234" s="189">
        <v>390.0</v>
      </c>
      <c r="L234" s="19"/>
      <c r="M234" s="192" t="s">
        <v>829</v>
      </c>
      <c r="N234" s="119" t="s">
        <v>831</v>
      </c>
      <c r="O234" s="169"/>
      <c r="P234" s="169"/>
      <c r="Q234" s="169"/>
      <c r="R234" s="169"/>
      <c r="S234" s="169"/>
      <c r="T234" s="169"/>
      <c r="U234" s="169"/>
      <c r="V234" s="169"/>
      <c r="W234" s="169"/>
      <c r="X234" s="169"/>
      <c r="Y234" s="169"/>
      <c r="Z234" s="169"/>
      <c r="AA234" s="169"/>
      <c r="AB234" s="169"/>
      <c r="AC234" s="169"/>
      <c r="AD234" s="169"/>
      <c r="AE234" s="169"/>
      <c r="AF234" s="169"/>
      <c r="AG234" s="169"/>
      <c r="AH234" s="169"/>
    </row>
    <row r="235" ht="15.75" customHeight="1">
      <c r="A235" s="169"/>
      <c r="B235" s="38" t="s">
        <v>118</v>
      </c>
      <c r="C235" s="191" t="s">
        <v>3458</v>
      </c>
      <c r="D235" s="40" t="s">
        <v>583</v>
      </c>
      <c r="E235" s="40" t="s">
        <v>3378</v>
      </c>
      <c r="F235" s="40" t="s">
        <v>538</v>
      </c>
      <c r="G235" s="39" t="s">
        <v>184</v>
      </c>
      <c r="H235" s="42" t="s">
        <v>3459</v>
      </c>
      <c r="I235" s="188">
        <v>44528.0</v>
      </c>
      <c r="J235" s="188">
        <v>44593.0</v>
      </c>
      <c r="K235" s="189">
        <v>286.0</v>
      </c>
      <c r="L235" s="19"/>
      <c r="M235" s="192" t="s">
        <v>589</v>
      </c>
      <c r="N235" s="119" t="s">
        <v>590</v>
      </c>
      <c r="O235" s="169"/>
      <c r="P235" s="169"/>
      <c r="Q235" s="169"/>
      <c r="R235" s="169"/>
      <c r="S235" s="169"/>
      <c r="T235" s="169"/>
      <c r="U235" s="169"/>
      <c r="V235" s="169"/>
      <c r="W235" s="169"/>
      <c r="X235" s="169"/>
      <c r="Y235" s="169"/>
      <c r="Z235" s="169"/>
      <c r="AA235" s="169"/>
      <c r="AB235" s="169"/>
      <c r="AC235" s="169"/>
      <c r="AD235" s="169"/>
      <c r="AE235" s="169"/>
      <c r="AF235" s="169"/>
      <c r="AG235" s="169"/>
      <c r="AH235" s="169"/>
    </row>
    <row r="236" ht="15.75" customHeight="1">
      <c r="A236" s="169"/>
      <c r="B236" s="38" t="s">
        <v>118</v>
      </c>
      <c r="C236" s="191" t="s">
        <v>3460</v>
      </c>
      <c r="D236" s="40" t="s">
        <v>583</v>
      </c>
      <c r="E236" s="40" t="s">
        <v>3378</v>
      </c>
      <c r="F236" s="40" t="s">
        <v>538</v>
      </c>
      <c r="G236" s="39" t="s">
        <v>184</v>
      </c>
      <c r="H236" s="42" t="s">
        <v>3461</v>
      </c>
      <c r="I236" s="188">
        <v>44528.0</v>
      </c>
      <c r="J236" s="188">
        <v>44593.0</v>
      </c>
      <c r="K236" s="189">
        <v>286.0</v>
      </c>
      <c r="L236" s="19"/>
      <c r="M236" s="192" t="s">
        <v>587</v>
      </c>
      <c r="N236" s="119" t="s">
        <v>588</v>
      </c>
      <c r="O236" s="169"/>
      <c r="P236" s="169"/>
      <c r="Q236" s="169"/>
      <c r="R236" s="169"/>
      <c r="S236" s="169"/>
      <c r="T236" s="169"/>
      <c r="U236" s="169"/>
      <c r="V236" s="169"/>
      <c r="W236" s="169"/>
      <c r="X236" s="169"/>
      <c r="Y236" s="169"/>
      <c r="Z236" s="169"/>
      <c r="AA236" s="169"/>
      <c r="AB236" s="169"/>
      <c r="AC236" s="169"/>
      <c r="AD236" s="169"/>
      <c r="AE236" s="169"/>
      <c r="AF236" s="169"/>
      <c r="AG236" s="169"/>
      <c r="AH236" s="169"/>
    </row>
    <row r="237" ht="15.75" customHeight="1">
      <c r="A237" s="169"/>
      <c r="B237" s="38" t="s">
        <v>118</v>
      </c>
      <c r="C237" s="191" t="s">
        <v>3462</v>
      </c>
      <c r="D237" s="40" t="s">
        <v>583</v>
      </c>
      <c r="E237" s="40" t="s">
        <v>3378</v>
      </c>
      <c r="F237" s="40" t="s">
        <v>538</v>
      </c>
      <c r="G237" s="39" t="s">
        <v>184</v>
      </c>
      <c r="H237" s="42" t="s">
        <v>3463</v>
      </c>
      <c r="I237" s="188">
        <v>44528.0</v>
      </c>
      <c r="J237" s="188">
        <v>44593.0</v>
      </c>
      <c r="K237" s="189">
        <v>286.0</v>
      </c>
      <c r="L237" s="19"/>
      <c r="M237" s="192" t="s">
        <v>585</v>
      </c>
      <c r="N237" s="119" t="s">
        <v>586</v>
      </c>
      <c r="O237" s="169"/>
      <c r="P237" s="169"/>
      <c r="Q237" s="169"/>
      <c r="R237" s="169"/>
      <c r="S237" s="169"/>
      <c r="T237" s="169"/>
      <c r="U237" s="169"/>
      <c r="V237" s="169"/>
      <c r="W237" s="169"/>
      <c r="X237" s="169"/>
      <c r="Y237" s="169"/>
      <c r="Z237" s="169"/>
      <c r="AA237" s="169"/>
      <c r="AB237" s="169"/>
      <c r="AC237" s="169"/>
      <c r="AD237" s="169"/>
      <c r="AE237" s="169"/>
      <c r="AF237" s="169"/>
      <c r="AG237" s="169"/>
      <c r="AH237" s="169"/>
    </row>
    <row r="238" ht="15.75" customHeight="1">
      <c r="A238" s="169"/>
      <c r="B238" s="38" t="s">
        <v>118</v>
      </c>
      <c r="C238" s="191" t="s">
        <v>3464</v>
      </c>
      <c r="D238" s="40" t="s">
        <v>583</v>
      </c>
      <c r="E238" s="40" t="s">
        <v>3378</v>
      </c>
      <c r="F238" s="40" t="s">
        <v>538</v>
      </c>
      <c r="G238" s="39" t="s">
        <v>184</v>
      </c>
      <c r="H238" s="42" t="s">
        <v>3465</v>
      </c>
      <c r="I238" s="188">
        <v>44528.0</v>
      </c>
      <c r="J238" s="188">
        <v>44593.0</v>
      </c>
      <c r="K238" s="189">
        <v>538.0</v>
      </c>
      <c r="L238" s="19"/>
      <c r="M238" s="192" t="s">
        <v>582</v>
      </c>
      <c r="N238" s="119" t="s">
        <v>584</v>
      </c>
      <c r="O238" s="169"/>
      <c r="P238" s="169"/>
      <c r="Q238" s="169"/>
      <c r="R238" s="169"/>
      <c r="S238" s="169"/>
      <c r="T238" s="169"/>
      <c r="U238" s="169"/>
      <c r="V238" s="169"/>
      <c r="W238" s="169"/>
      <c r="X238" s="169"/>
      <c r="Y238" s="169"/>
      <c r="Z238" s="169"/>
      <c r="AA238" s="169"/>
      <c r="AB238" s="169"/>
      <c r="AC238" s="169"/>
      <c r="AD238" s="169"/>
      <c r="AE238" s="169"/>
      <c r="AF238" s="169"/>
      <c r="AG238" s="169"/>
      <c r="AH238" s="169"/>
    </row>
    <row r="239" ht="15.75" customHeight="1">
      <c r="A239" s="169"/>
      <c r="B239" s="38" t="s">
        <v>118</v>
      </c>
      <c r="C239" s="191" t="s">
        <v>3466</v>
      </c>
      <c r="D239" s="40" t="s">
        <v>495</v>
      </c>
      <c r="E239" s="40" t="s">
        <v>3378</v>
      </c>
      <c r="F239" s="40" t="s">
        <v>414</v>
      </c>
      <c r="G239" s="39" t="s">
        <v>184</v>
      </c>
      <c r="H239" s="42" t="s">
        <v>3467</v>
      </c>
      <c r="I239" s="188">
        <v>44614.0</v>
      </c>
      <c r="J239" s="188">
        <v>44679.0</v>
      </c>
      <c r="K239" s="189">
        <v>344.0</v>
      </c>
      <c r="L239" s="19"/>
      <c r="M239" s="192" t="s">
        <v>2893</v>
      </c>
      <c r="N239" s="42"/>
      <c r="O239" s="169"/>
      <c r="P239" s="169"/>
      <c r="Q239" s="169"/>
      <c r="R239" s="169"/>
      <c r="S239" s="169"/>
      <c r="T239" s="169"/>
      <c r="U239" s="169"/>
      <c r="V239" s="169"/>
      <c r="W239" s="169"/>
      <c r="X239" s="169"/>
      <c r="Y239" s="169"/>
      <c r="Z239" s="169"/>
      <c r="AA239" s="169"/>
      <c r="AB239" s="169"/>
      <c r="AC239" s="169"/>
      <c r="AD239" s="169"/>
      <c r="AE239" s="169"/>
      <c r="AF239" s="169"/>
      <c r="AG239" s="169"/>
      <c r="AH239" s="169"/>
    </row>
    <row r="240" ht="15.75" customHeight="1">
      <c r="A240" s="169"/>
      <c r="B240" s="38" t="s">
        <v>1031</v>
      </c>
      <c r="C240" s="191" t="s">
        <v>3468</v>
      </c>
      <c r="D240" s="40" t="s">
        <v>1128</v>
      </c>
      <c r="E240" s="40" t="s">
        <v>3378</v>
      </c>
      <c r="F240" s="40" t="s">
        <v>1051</v>
      </c>
      <c r="G240" s="39" t="s">
        <v>1035</v>
      </c>
      <c r="H240" s="42" t="s">
        <v>3469</v>
      </c>
      <c r="I240" s="188">
        <v>44068.0</v>
      </c>
      <c r="J240" s="188">
        <v>44133.0</v>
      </c>
      <c r="K240" s="189">
        <v>1028.0</v>
      </c>
      <c r="L240" s="19"/>
      <c r="M240" s="192" t="s">
        <v>3470</v>
      </c>
      <c r="N240" s="42"/>
      <c r="O240" s="169"/>
      <c r="P240" s="169"/>
      <c r="Q240" s="169"/>
      <c r="R240" s="169"/>
      <c r="S240" s="169"/>
      <c r="T240" s="169"/>
      <c r="U240" s="169"/>
      <c r="V240" s="169"/>
      <c r="W240" s="169"/>
      <c r="X240" s="169"/>
      <c r="Y240" s="169"/>
      <c r="Z240" s="169"/>
      <c r="AA240" s="169"/>
      <c r="AB240" s="169"/>
      <c r="AC240" s="169"/>
      <c r="AD240" s="169"/>
      <c r="AE240" s="169"/>
      <c r="AF240" s="169"/>
      <c r="AG240" s="169"/>
      <c r="AH240" s="169"/>
    </row>
    <row r="241" ht="15.75" customHeight="1">
      <c r="A241" s="169"/>
      <c r="B241" s="38" t="s">
        <v>1031</v>
      </c>
      <c r="C241" s="191" t="s">
        <v>3471</v>
      </c>
      <c r="D241" s="40" t="s">
        <v>3472</v>
      </c>
      <c r="E241" s="40" t="s">
        <v>3378</v>
      </c>
      <c r="F241" s="40" t="s">
        <v>1051</v>
      </c>
      <c r="G241" s="39" t="s">
        <v>1035</v>
      </c>
      <c r="H241" s="42" t="s">
        <v>3473</v>
      </c>
      <c r="I241" s="188">
        <v>44068.0</v>
      </c>
      <c r="J241" s="188">
        <v>44133.0</v>
      </c>
      <c r="K241" s="189">
        <v>1161.0</v>
      </c>
      <c r="L241" s="19"/>
      <c r="M241" s="192" t="s">
        <v>3474</v>
      </c>
      <c r="N241" s="42"/>
      <c r="O241" s="169"/>
      <c r="P241" s="169"/>
      <c r="Q241" s="169"/>
      <c r="R241" s="169"/>
      <c r="S241" s="169"/>
      <c r="T241" s="169"/>
      <c r="U241" s="169"/>
      <c r="V241" s="169"/>
      <c r="W241" s="169"/>
      <c r="X241" s="169"/>
      <c r="Y241" s="169"/>
      <c r="Z241" s="169"/>
      <c r="AA241" s="169"/>
      <c r="AB241" s="169"/>
      <c r="AC241" s="169"/>
      <c r="AD241" s="169"/>
      <c r="AE241" s="169"/>
      <c r="AF241" s="169"/>
      <c r="AG241" s="169"/>
      <c r="AH241" s="169"/>
    </row>
    <row r="242" ht="15.75" customHeight="1">
      <c r="A242" s="169"/>
      <c r="B242" s="38" t="s">
        <v>1031</v>
      </c>
      <c r="C242" s="191" t="s">
        <v>3470</v>
      </c>
      <c r="D242" s="40" t="s">
        <v>1117</v>
      </c>
      <c r="E242" s="40" t="s">
        <v>3378</v>
      </c>
      <c r="F242" s="40" t="s">
        <v>1051</v>
      </c>
      <c r="G242" s="39" t="s">
        <v>1035</v>
      </c>
      <c r="H242" s="48" t="s">
        <v>3475</v>
      </c>
      <c r="I242" s="188">
        <v>44742.0</v>
      </c>
      <c r="J242" s="188">
        <v>44895.0</v>
      </c>
      <c r="K242" s="189">
        <v>1028.0</v>
      </c>
      <c r="L242" s="19"/>
      <c r="M242" s="192" t="s">
        <v>1116</v>
      </c>
      <c r="N242" s="119" t="s">
        <v>3476</v>
      </c>
      <c r="O242" s="169"/>
      <c r="P242" s="169"/>
      <c r="Q242" s="169"/>
      <c r="R242" s="169"/>
      <c r="S242" s="169"/>
      <c r="T242" s="169"/>
      <c r="U242" s="169"/>
      <c r="V242" s="169"/>
      <c r="W242" s="169"/>
      <c r="X242" s="169"/>
      <c r="Y242" s="169"/>
      <c r="Z242" s="169"/>
      <c r="AA242" s="169"/>
      <c r="AB242" s="169"/>
      <c r="AC242" s="169"/>
      <c r="AD242" s="169"/>
      <c r="AE242" s="169"/>
      <c r="AF242" s="169"/>
      <c r="AG242" s="169"/>
      <c r="AH242" s="169"/>
    </row>
    <row r="243" ht="15.75" customHeight="1">
      <c r="A243" s="169"/>
      <c r="B243" s="38" t="s">
        <v>1031</v>
      </c>
      <c r="C243" s="191" t="s">
        <v>3474</v>
      </c>
      <c r="D243" s="40" t="s">
        <v>3269</v>
      </c>
      <c r="E243" s="40" t="s">
        <v>3378</v>
      </c>
      <c r="F243" s="19" t="s">
        <v>1051</v>
      </c>
      <c r="G243" s="39" t="s">
        <v>1035</v>
      </c>
      <c r="H243" s="48" t="s">
        <v>3477</v>
      </c>
      <c r="I243" s="188">
        <v>44742.0</v>
      </c>
      <c r="J243" s="188">
        <v>44895.0</v>
      </c>
      <c r="K243" s="189">
        <v>1186.0</v>
      </c>
      <c r="L243" s="19"/>
      <c r="M243" s="186" t="s">
        <v>3478</v>
      </c>
      <c r="N243" s="42" t="s">
        <v>3479</v>
      </c>
      <c r="O243" s="169"/>
      <c r="P243" s="169"/>
      <c r="Q243" s="169"/>
      <c r="R243" s="169"/>
      <c r="S243" s="169"/>
      <c r="T243" s="169"/>
      <c r="U243" s="169"/>
      <c r="V243" s="169"/>
      <c r="W243" s="169"/>
      <c r="X243" s="169"/>
      <c r="Y243" s="169"/>
      <c r="Z243" s="169"/>
      <c r="AA243" s="169"/>
      <c r="AB243" s="169"/>
      <c r="AC243" s="169"/>
      <c r="AD243" s="169"/>
      <c r="AE243" s="169"/>
      <c r="AF243" s="169"/>
      <c r="AG243" s="169"/>
      <c r="AH243" s="169"/>
    </row>
    <row r="244" ht="15.75" customHeight="1">
      <c r="A244" s="169"/>
      <c r="B244" s="38" t="s">
        <v>1031</v>
      </c>
      <c r="C244" s="191" t="s">
        <v>3480</v>
      </c>
      <c r="D244" s="40" t="s">
        <v>1120</v>
      </c>
      <c r="E244" s="40" t="s">
        <v>3378</v>
      </c>
      <c r="F244" s="40" t="s">
        <v>1051</v>
      </c>
      <c r="G244" s="39" t="s">
        <v>1035</v>
      </c>
      <c r="H244" s="48" t="s">
        <v>3481</v>
      </c>
      <c r="I244" s="188">
        <v>44742.0</v>
      </c>
      <c r="J244" s="188">
        <v>44895.0</v>
      </c>
      <c r="K244" s="189">
        <v>1260.0</v>
      </c>
      <c r="L244" s="19"/>
      <c r="M244" s="186" t="s">
        <v>1119</v>
      </c>
      <c r="N244" s="119" t="s">
        <v>1121</v>
      </c>
      <c r="O244" s="169"/>
      <c r="P244" s="169"/>
      <c r="Q244" s="169"/>
      <c r="R244" s="169"/>
      <c r="S244" s="169"/>
      <c r="T244" s="169"/>
      <c r="U244" s="169"/>
      <c r="V244" s="169"/>
      <c r="W244" s="169"/>
      <c r="X244" s="169"/>
      <c r="Y244" s="169"/>
      <c r="Z244" s="169"/>
      <c r="AA244" s="169"/>
      <c r="AB244" s="169"/>
      <c r="AC244" s="169"/>
      <c r="AD244" s="169"/>
      <c r="AE244" s="169"/>
      <c r="AF244" s="169"/>
      <c r="AG244" s="169"/>
      <c r="AH244" s="169"/>
    </row>
    <row r="245" ht="15.75" customHeight="1">
      <c r="A245" s="169"/>
      <c r="B245" s="38" t="s">
        <v>1031</v>
      </c>
      <c r="C245" s="191" t="s">
        <v>3482</v>
      </c>
      <c r="D245" s="40" t="s">
        <v>3274</v>
      </c>
      <c r="E245" s="40" t="s">
        <v>3378</v>
      </c>
      <c r="F245" s="40" t="s">
        <v>1051</v>
      </c>
      <c r="G245" s="39" t="s">
        <v>1035</v>
      </c>
      <c r="H245" s="48" t="s">
        <v>3483</v>
      </c>
      <c r="I245" s="188">
        <v>44742.0</v>
      </c>
      <c r="J245" s="188">
        <v>44895.0</v>
      </c>
      <c r="K245" s="189">
        <v>1474.0</v>
      </c>
      <c r="L245" s="19"/>
      <c r="M245" s="186" t="s">
        <v>3484</v>
      </c>
      <c r="N245" s="42" t="s">
        <v>3479</v>
      </c>
      <c r="O245" s="169"/>
      <c r="P245" s="169"/>
      <c r="Q245" s="169"/>
      <c r="R245" s="169"/>
      <c r="S245" s="169"/>
      <c r="T245" s="169"/>
      <c r="U245" s="169"/>
      <c r="V245" s="169"/>
      <c r="W245" s="169"/>
      <c r="X245" s="169"/>
      <c r="Y245" s="169"/>
      <c r="Z245" s="169"/>
      <c r="AA245" s="169"/>
      <c r="AB245" s="169"/>
      <c r="AC245" s="169"/>
      <c r="AD245" s="169"/>
      <c r="AE245" s="169"/>
      <c r="AF245" s="169"/>
      <c r="AG245" s="169"/>
      <c r="AH245" s="169"/>
    </row>
    <row r="246" ht="15.75" customHeight="1">
      <c r="A246" s="169"/>
      <c r="B246" s="38" t="s">
        <v>1031</v>
      </c>
      <c r="C246" s="191" t="s">
        <v>3485</v>
      </c>
      <c r="D246" s="40" t="s">
        <v>3486</v>
      </c>
      <c r="E246" s="40" t="s">
        <v>3378</v>
      </c>
      <c r="F246" s="40" t="s">
        <v>1034</v>
      </c>
      <c r="G246" s="39" t="s">
        <v>1035</v>
      </c>
      <c r="H246" s="42" t="s">
        <v>3487</v>
      </c>
      <c r="I246" s="188">
        <v>43786.0</v>
      </c>
      <c r="J246" s="188">
        <v>43851.0</v>
      </c>
      <c r="K246" s="189">
        <v>390.0</v>
      </c>
      <c r="L246" s="19"/>
      <c r="M246" s="192" t="s">
        <v>3488</v>
      </c>
      <c r="N246" s="42" t="s">
        <v>3489</v>
      </c>
      <c r="O246" s="169"/>
      <c r="P246" s="169"/>
      <c r="Q246" s="169"/>
      <c r="R246" s="169"/>
      <c r="S246" s="169"/>
      <c r="T246" s="169"/>
      <c r="U246" s="169"/>
      <c r="V246" s="169"/>
      <c r="W246" s="169"/>
      <c r="X246" s="169"/>
      <c r="Y246" s="169"/>
      <c r="Z246" s="169"/>
      <c r="AA246" s="169"/>
      <c r="AB246" s="169"/>
      <c r="AC246" s="169"/>
      <c r="AD246" s="169"/>
      <c r="AE246" s="169"/>
      <c r="AF246" s="169"/>
      <c r="AG246" s="169"/>
      <c r="AH246" s="169"/>
    </row>
    <row r="247" ht="15.75" customHeight="1">
      <c r="A247" s="169"/>
      <c r="B247" s="38" t="s">
        <v>1031</v>
      </c>
      <c r="C247" s="191" t="s">
        <v>3490</v>
      </c>
      <c r="D247" s="40" t="s">
        <v>3491</v>
      </c>
      <c r="E247" s="40" t="s">
        <v>3378</v>
      </c>
      <c r="F247" s="40" t="s">
        <v>1034</v>
      </c>
      <c r="G247" s="39" t="s">
        <v>1035</v>
      </c>
      <c r="H247" s="42" t="s">
        <v>3492</v>
      </c>
      <c r="I247" s="188">
        <v>43786.0</v>
      </c>
      <c r="J247" s="188">
        <v>43851.0</v>
      </c>
      <c r="K247" s="189">
        <v>523.0</v>
      </c>
      <c r="L247" s="19"/>
      <c r="M247" s="192" t="s">
        <v>3493</v>
      </c>
      <c r="N247" s="42" t="s">
        <v>3494</v>
      </c>
      <c r="O247" s="169"/>
      <c r="P247" s="169"/>
      <c r="Q247" s="169"/>
      <c r="R247" s="169"/>
      <c r="S247" s="169"/>
      <c r="T247" s="169"/>
      <c r="U247" s="169"/>
      <c r="V247" s="169"/>
      <c r="W247" s="169"/>
      <c r="X247" s="169"/>
      <c r="Y247" s="169"/>
      <c r="Z247" s="169"/>
      <c r="AA247" s="169"/>
      <c r="AB247" s="169"/>
      <c r="AC247" s="169"/>
      <c r="AD247" s="169"/>
      <c r="AE247" s="169"/>
      <c r="AF247" s="169"/>
      <c r="AG247" s="169"/>
      <c r="AH247" s="169"/>
    </row>
    <row r="248" ht="15.75" customHeight="1">
      <c r="A248" s="169"/>
      <c r="B248" s="38" t="s">
        <v>1031</v>
      </c>
      <c r="C248" s="191" t="s">
        <v>3495</v>
      </c>
      <c r="D248" s="40" t="s">
        <v>1105</v>
      </c>
      <c r="E248" s="40" t="s">
        <v>3378</v>
      </c>
      <c r="F248" s="40" t="s">
        <v>1034</v>
      </c>
      <c r="G248" s="39" t="s">
        <v>1035</v>
      </c>
      <c r="H248" s="42" t="s">
        <v>3496</v>
      </c>
      <c r="I248" s="188">
        <v>44068.0</v>
      </c>
      <c r="J248" s="188">
        <v>44133.0</v>
      </c>
      <c r="K248" s="189">
        <v>399.0</v>
      </c>
      <c r="L248" s="19"/>
      <c r="M248" s="192" t="s">
        <v>3488</v>
      </c>
      <c r="N248" s="119"/>
      <c r="O248" s="169"/>
      <c r="P248" s="169"/>
      <c r="Q248" s="169"/>
      <c r="R248" s="169"/>
      <c r="S248" s="169"/>
      <c r="T248" s="169"/>
      <c r="U248" s="169"/>
      <c r="V248" s="169"/>
      <c r="W248" s="169"/>
      <c r="X248" s="169"/>
      <c r="Y248" s="169"/>
      <c r="Z248" s="169"/>
      <c r="AA248" s="169"/>
      <c r="AB248" s="169"/>
      <c r="AC248" s="169"/>
      <c r="AD248" s="169"/>
      <c r="AE248" s="169"/>
      <c r="AF248" s="169"/>
      <c r="AG248" s="169"/>
      <c r="AH248" s="169"/>
    </row>
    <row r="249" ht="15.75" customHeight="1">
      <c r="A249" s="169"/>
      <c r="B249" s="38" t="s">
        <v>1031</v>
      </c>
      <c r="C249" s="191" t="s">
        <v>3497</v>
      </c>
      <c r="D249" s="40" t="s">
        <v>3279</v>
      </c>
      <c r="E249" s="40" t="s">
        <v>3378</v>
      </c>
      <c r="F249" s="40" t="s">
        <v>1034</v>
      </c>
      <c r="G249" s="39" t="s">
        <v>1035</v>
      </c>
      <c r="H249" s="42" t="s">
        <v>3498</v>
      </c>
      <c r="I249" s="188">
        <v>44068.0</v>
      </c>
      <c r="J249" s="188">
        <v>44133.0</v>
      </c>
      <c r="K249" s="189">
        <v>532.0</v>
      </c>
      <c r="L249" s="19"/>
      <c r="M249" s="192" t="s">
        <v>3499</v>
      </c>
      <c r="N249" s="119"/>
      <c r="O249" s="169"/>
      <c r="P249" s="169"/>
      <c r="Q249" s="169"/>
      <c r="R249" s="169"/>
      <c r="S249" s="169"/>
      <c r="T249" s="169"/>
      <c r="U249" s="169"/>
      <c r="V249" s="169"/>
      <c r="W249" s="169"/>
      <c r="X249" s="169"/>
      <c r="Y249" s="169"/>
      <c r="Z249" s="169"/>
      <c r="AA249" s="169"/>
      <c r="AB249" s="169"/>
      <c r="AC249" s="169"/>
      <c r="AD249" s="169"/>
      <c r="AE249" s="169"/>
      <c r="AF249" s="169"/>
      <c r="AG249" s="169"/>
      <c r="AH249" s="169"/>
    </row>
    <row r="250" ht="15.75" customHeight="1">
      <c r="A250" s="169"/>
      <c r="B250" s="38" t="s">
        <v>1031</v>
      </c>
      <c r="C250" s="191" t="s">
        <v>3488</v>
      </c>
      <c r="D250" s="40" t="s">
        <v>1105</v>
      </c>
      <c r="E250" s="40" t="s">
        <v>3378</v>
      </c>
      <c r="F250" s="40" t="s">
        <v>1034</v>
      </c>
      <c r="G250" s="39" t="s">
        <v>1035</v>
      </c>
      <c r="H250" s="48" t="s">
        <v>3500</v>
      </c>
      <c r="I250" s="188">
        <v>44742.0</v>
      </c>
      <c r="J250" s="188">
        <v>44803.0</v>
      </c>
      <c r="K250" s="189">
        <v>399.0</v>
      </c>
      <c r="L250" s="19"/>
      <c r="M250" s="192" t="s">
        <v>1104</v>
      </c>
      <c r="N250" s="119" t="s">
        <v>3501</v>
      </c>
      <c r="O250" s="169"/>
      <c r="P250" s="169"/>
      <c r="Q250" s="169"/>
      <c r="R250" s="169"/>
      <c r="S250" s="169"/>
      <c r="T250" s="169"/>
      <c r="U250" s="169"/>
      <c r="V250" s="169"/>
      <c r="W250" s="169"/>
      <c r="X250" s="169"/>
      <c r="Y250" s="169"/>
      <c r="Z250" s="169"/>
      <c r="AA250" s="169"/>
      <c r="AB250" s="169"/>
      <c r="AC250" s="169"/>
      <c r="AD250" s="169"/>
      <c r="AE250" s="169"/>
      <c r="AF250" s="169"/>
      <c r="AG250" s="169"/>
      <c r="AH250" s="169"/>
    </row>
    <row r="251" ht="15.75" customHeight="1">
      <c r="A251" s="169"/>
      <c r="B251" s="38" t="s">
        <v>1031</v>
      </c>
      <c r="C251" s="191" t="s">
        <v>3499</v>
      </c>
      <c r="D251" s="40" t="s">
        <v>3279</v>
      </c>
      <c r="E251" s="40" t="s">
        <v>3378</v>
      </c>
      <c r="F251" s="40" t="s">
        <v>1034</v>
      </c>
      <c r="G251" s="39" t="s">
        <v>1035</v>
      </c>
      <c r="H251" s="48" t="s">
        <v>3502</v>
      </c>
      <c r="I251" s="188">
        <v>44742.0</v>
      </c>
      <c r="J251" s="188">
        <v>44803.0</v>
      </c>
      <c r="K251" s="189">
        <v>522.0</v>
      </c>
      <c r="L251" s="19"/>
      <c r="M251" s="186" t="s">
        <v>3503</v>
      </c>
      <c r="N251" s="42" t="s">
        <v>3479</v>
      </c>
      <c r="O251" s="169"/>
      <c r="P251" s="169"/>
      <c r="Q251" s="169"/>
      <c r="R251" s="169"/>
      <c r="S251" s="169"/>
      <c r="T251" s="169"/>
      <c r="U251" s="169"/>
      <c r="V251" s="169"/>
      <c r="W251" s="169"/>
      <c r="X251" s="169"/>
      <c r="Y251" s="169"/>
      <c r="Z251" s="169"/>
      <c r="AA251" s="169"/>
      <c r="AB251" s="169"/>
      <c r="AC251" s="169"/>
      <c r="AD251" s="169"/>
      <c r="AE251" s="169"/>
      <c r="AF251" s="169"/>
      <c r="AG251" s="169"/>
      <c r="AH251" s="169"/>
    </row>
    <row r="252" ht="15.75" customHeight="1">
      <c r="A252" s="169"/>
      <c r="B252" s="38" t="s">
        <v>1031</v>
      </c>
      <c r="C252" s="191" t="s">
        <v>3504</v>
      </c>
      <c r="D252" s="40" t="s">
        <v>3282</v>
      </c>
      <c r="E252" s="40" t="s">
        <v>3378</v>
      </c>
      <c r="F252" s="40" t="s">
        <v>1034</v>
      </c>
      <c r="G252" s="39" t="s">
        <v>1035</v>
      </c>
      <c r="H252" s="48" t="s">
        <v>3505</v>
      </c>
      <c r="I252" s="188">
        <v>44742.0</v>
      </c>
      <c r="J252" s="188">
        <v>44803.0</v>
      </c>
      <c r="K252" s="189">
        <v>557.0</v>
      </c>
      <c r="L252" s="19"/>
      <c r="M252" s="186" t="s">
        <v>3503</v>
      </c>
      <c r="N252" s="42" t="s">
        <v>3479</v>
      </c>
      <c r="O252" s="169"/>
      <c r="P252" s="169"/>
      <c r="Q252" s="169"/>
      <c r="R252" s="169"/>
      <c r="S252" s="169"/>
      <c r="T252" s="169"/>
      <c r="U252" s="169"/>
      <c r="V252" s="169"/>
      <c r="W252" s="169"/>
      <c r="X252" s="169"/>
      <c r="Y252" s="169"/>
      <c r="Z252" s="169"/>
      <c r="AA252" s="169"/>
      <c r="AB252" s="169"/>
      <c r="AC252" s="169"/>
      <c r="AD252" s="169"/>
      <c r="AE252" s="169"/>
      <c r="AF252" s="169"/>
      <c r="AG252" s="169"/>
      <c r="AH252" s="169"/>
    </row>
    <row r="253" ht="15.75" customHeight="1">
      <c r="A253" s="169"/>
      <c r="B253" s="38" t="s">
        <v>1031</v>
      </c>
      <c r="C253" s="191" t="s">
        <v>3506</v>
      </c>
      <c r="D253" s="40" t="s">
        <v>1108</v>
      </c>
      <c r="E253" s="40" t="s">
        <v>3378</v>
      </c>
      <c r="F253" s="40" t="s">
        <v>1034</v>
      </c>
      <c r="G253" s="39" t="s">
        <v>1035</v>
      </c>
      <c r="H253" s="48" t="s">
        <v>3507</v>
      </c>
      <c r="I253" s="188">
        <v>44742.0</v>
      </c>
      <c r="J253" s="188">
        <v>44803.0</v>
      </c>
      <c r="K253" s="189">
        <v>631.0</v>
      </c>
      <c r="L253" s="19"/>
      <c r="M253" s="186" t="s">
        <v>1107</v>
      </c>
      <c r="N253" s="119" t="s">
        <v>1109</v>
      </c>
      <c r="O253" s="169"/>
      <c r="P253" s="169"/>
      <c r="Q253" s="169"/>
      <c r="R253" s="169"/>
      <c r="S253" s="169"/>
      <c r="T253" s="169"/>
      <c r="U253" s="169"/>
      <c r="V253" s="169"/>
      <c r="W253" s="169"/>
      <c r="X253" s="169"/>
      <c r="Y253" s="169"/>
      <c r="Z253" s="169"/>
      <c r="AA253" s="169"/>
      <c r="AB253" s="169"/>
      <c r="AC253" s="169"/>
      <c r="AD253" s="169"/>
      <c r="AE253" s="169"/>
      <c r="AF253" s="169"/>
      <c r="AG253" s="169"/>
      <c r="AH253" s="169"/>
    </row>
    <row r="254" ht="15.75" customHeight="1">
      <c r="A254" s="169"/>
      <c r="B254" s="38" t="s">
        <v>1031</v>
      </c>
      <c r="C254" s="191" t="s">
        <v>3508</v>
      </c>
      <c r="D254" s="40" t="s">
        <v>3509</v>
      </c>
      <c r="E254" s="40" t="s">
        <v>3378</v>
      </c>
      <c r="F254" s="40" t="s">
        <v>1083</v>
      </c>
      <c r="G254" s="39" t="s">
        <v>1035</v>
      </c>
      <c r="H254" s="42" t="s">
        <v>3510</v>
      </c>
      <c r="I254" s="188">
        <v>44068.0</v>
      </c>
      <c r="J254" s="188">
        <v>44133.0</v>
      </c>
      <c r="K254" s="189">
        <v>546.0</v>
      </c>
      <c r="L254" s="19"/>
      <c r="M254" s="192" t="s">
        <v>1110</v>
      </c>
      <c r="N254" s="119" t="s">
        <v>3511</v>
      </c>
      <c r="O254" s="169"/>
      <c r="P254" s="169"/>
      <c r="Q254" s="169"/>
      <c r="R254" s="169"/>
      <c r="S254" s="169"/>
      <c r="T254" s="169"/>
      <c r="U254" s="169"/>
      <c r="V254" s="169"/>
      <c r="W254" s="169"/>
      <c r="X254" s="169"/>
      <c r="Y254" s="169"/>
      <c r="Z254" s="169"/>
      <c r="AA254" s="169"/>
      <c r="AB254" s="169"/>
      <c r="AC254" s="169"/>
      <c r="AD254" s="169"/>
      <c r="AE254" s="169"/>
      <c r="AF254" s="169"/>
      <c r="AG254" s="169"/>
      <c r="AH254" s="169"/>
    </row>
    <row r="255" ht="15.75" customHeight="1">
      <c r="A255" s="169"/>
      <c r="B255" s="38" t="s">
        <v>1031</v>
      </c>
      <c r="C255" s="191" t="s">
        <v>3512</v>
      </c>
      <c r="D255" s="40" t="s">
        <v>3513</v>
      </c>
      <c r="E255" s="40" t="s">
        <v>3378</v>
      </c>
      <c r="F255" s="40" t="s">
        <v>1083</v>
      </c>
      <c r="G255" s="39" t="s">
        <v>1035</v>
      </c>
      <c r="H255" s="42" t="s">
        <v>3514</v>
      </c>
      <c r="I255" s="188">
        <v>44068.0</v>
      </c>
      <c r="J255" s="188">
        <v>44133.0</v>
      </c>
      <c r="K255" s="189">
        <v>679.0</v>
      </c>
      <c r="L255" s="19"/>
      <c r="M255" s="186" t="s">
        <v>3515</v>
      </c>
      <c r="N255" s="42"/>
      <c r="O255" s="169"/>
      <c r="P255" s="169"/>
      <c r="Q255" s="169"/>
      <c r="R255" s="169"/>
      <c r="S255" s="169"/>
      <c r="T255" s="169"/>
      <c r="U255" s="169"/>
      <c r="V255" s="169"/>
      <c r="W255" s="169"/>
      <c r="X255" s="169"/>
      <c r="Y255" s="169"/>
      <c r="Z255" s="169"/>
      <c r="AA255" s="169"/>
      <c r="AB255" s="169"/>
      <c r="AC255" s="169"/>
      <c r="AD255" s="169"/>
      <c r="AE255" s="169"/>
      <c r="AF255" s="169"/>
      <c r="AG255" s="169"/>
      <c r="AH255" s="169"/>
    </row>
    <row r="256" ht="15.75" customHeight="1">
      <c r="A256" s="169"/>
      <c r="B256" s="38" t="s">
        <v>1031</v>
      </c>
      <c r="C256" s="191" t="s">
        <v>3516</v>
      </c>
      <c r="D256" s="40" t="s">
        <v>1111</v>
      </c>
      <c r="E256" s="40" t="s">
        <v>3378</v>
      </c>
      <c r="F256" s="40" t="s">
        <v>1083</v>
      </c>
      <c r="G256" s="39" t="s">
        <v>1035</v>
      </c>
      <c r="H256" s="42" t="s">
        <v>3517</v>
      </c>
      <c r="I256" s="188">
        <v>44068.0</v>
      </c>
      <c r="J256" s="188">
        <v>44133.0</v>
      </c>
      <c r="K256" s="189">
        <v>643.0</v>
      </c>
      <c r="L256" s="19"/>
      <c r="M256" s="192" t="s">
        <v>1110</v>
      </c>
      <c r="N256" s="119" t="s">
        <v>3511</v>
      </c>
      <c r="O256" s="169"/>
      <c r="P256" s="169"/>
      <c r="Q256" s="169"/>
      <c r="R256" s="169"/>
      <c r="S256" s="169"/>
      <c r="T256" s="169"/>
      <c r="U256" s="169"/>
      <c r="V256" s="169"/>
      <c r="W256" s="169"/>
      <c r="X256" s="169"/>
      <c r="Y256" s="169"/>
      <c r="Z256" s="169"/>
      <c r="AA256" s="169"/>
      <c r="AB256" s="169"/>
      <c r="AC256" s="169"/>
      <c r="AD256" s="169"/>
      <c r="AE256" s="169"/>
      <c r="AF256" s="169"/>
      <c r="AG256" s="169"/>
      <c r="AH256" s="169"/>
    </row>
    <row r="257" ht="15.75" customHeight="1">
      <c r="A257" s="169"/>
      <c r="B257" s="38" t="s">
        <v>1031</v>
      </c>
      <c r="C257" s="191" t="s">
        <v>3518</v>
      </c>
      <c r="D257" s="40" t="s">
        <v>3289</v>
      </c>
      <c r="E257" s="40" t="s">
        <v>3378</v>
      </c>
      <c r="F257" s="40" t="s">
        <v>1083</v>
      </c>
      <c r="G257" s="39" t="s">
        <v>1035</v>
      </c>
      <c r="H257" s="42" t="s">
        <v>3519</v>
      </c>
      <c r="I257" s="188">
        <v>44068.0</v>
      </c>
      <c r="J257" s="188">
        <v>44133.0</v>
      </c>
      <c r="K257" s="189">
        <v>776.0</v>
      </c>
      <c r="L257" s="19"/>
      <c r="M257" s="186" t="s">
        <v>3515</v>
      </c>
      <c r="N257" s="119"/>
      <c r="O257" s="169"/>
      <c r="P257" s="169"/>
      <c r="Q257" s="169"/>
      <c r="R257" s="169"/>
      <c r="S257" s="169"/>
      <c r="T257" s="169"/>
      <c r="U257" s="169"/>
      <c r="V257" s="169"/>
      <c r="W257" s="169"/>
      <c r="X257" s="169"/>
      <c r="Y257" s="169"/>
      <c r="Z257" s="169"/>
      <c r="AA257" s="169"/>
      <c r="AB257" s="169"/>
      <c r="AC257" s="169"/>
      <c r="AD257" s="169"/>
      <c r="AE257" s="169"/>
      <c r="AF257" s="169"/>
      <c r="AG257" s="169"/>
      <c r="AH257" s="169"/>
    </row>
    <row r="258" ht="15.75" customHeight="1">
      <c r="A258" s="169"/>
      <c r="B258" s="38" t="s">
        <v>1031</v>
      </c>
      <c r="C258" s="191" t="s">
        <v>3520</v>
      </c>
      <c r="D258" s="40" t="s">
        <v>1111</v>
      </c>
      <c r="E258" s="40" t="s">
        <v>3378</v>
      </c>
      <c r="F258" s="40" t="s">
        <v>1083</v>
      </c>
      <c r="G258" s="39" t="s">
        <v>1035</v>
      </c>
      <c r="H258" s="48" t="s">
        <v>3521</v>
      </c>
      <c r="I258" s="188">
        <v>44742.0</v>
      </c>
      <c r="J258" s="188">
        <v>44773.0</v>
      </c>
      <c r="K258" s="189">
        <v>643.0</v>
      </c>
      <c r="L258" s="19"/>
      <c r="M258" s="192" t="s">
        <v>1110</v>
      </c>
      <c r="N258" s="119" t="s">
        <v>3511</v>
      </c>
      <c r="O258" s="169"/>
      <c r="P258" s="169"/>
      <c r="Q258" s="169"/>
      <c r="R258" s="169"/>
      <c r="S258" s="169"/>
      <c r="T258" s="169"/>
      <c r="U258" s="169"/>
      <c r="V258" s="169"/>
      <c r="W258" s="169"/>
      <c r="X258" s="169"/>
      <c r="Y258" s="169"/>
      <c r="Z258" s="169"/>
      <c r="AA258" s="169"/>
      <c r="AB258" s="169"/>
      <c r="AC258" s="169"/>
      <c r="AD258" s="169"/>
      <c r="AE258" s="169"/>
      <c r="AF258" s="169"/>
      <c r="AG258" s="169"/>
      <c r="AH258" s="169"/>
    </row>
    <row r="259" ht="15.75" customHeight="1">
      <c r="A259" s="169"/>
      <c r="B259" s="38" t="s">
        <v>1031</v>
      </c>
      <c r="C259" s="186" t="s">
        <v>3522</v>
      </c>
      <c r="D259" s="40" t="s">
        <v>3289</v>
      </c>
      <c r="E259" s="40" t="s">
        <v>3378</v>
      </c>
      <c r="F259" s="40" t="s">
        <v>1083</v>
      </c>
      <c r="G259" s="39" t="s">
        <v>1035</v>
      </c>
      <c r="H259" s="48" t="s">
        <v>3523</v>
      </c>
      <c r="I259" s="188">
        <v>44742.0</v>
      </c>
      <c r="J259" s="188">
        <v>44773.0</v>
      </c>
      <c r="K259" s="189">
        <v>766.0</v>
      </c>
      <c r="L259" s="19"/>
      <c r="M259" s="186" t="s">
        <v>3515</v>
      </c>
      <c r="N259" s="119"/>
      <c r="O259" s="169"/>
      <c r="P259" s="169"/>
      <c r="Q259" s="169"/>
      <c r="R259" s="169"/>
      <c r="S259" s="169"/>
      <c r="T259" s="169"/>
      <c r="U259" s="169"/>
      <c r="V259" s="169"/>
      <c r="W259" s="169"/>
      <c r="X259" s="169"/>
      <c r="Y259" s="169"/>
      <c r="Z259" s="169"/>
      <c r="AA259" s="169"/>
      <c r="AB259" s="169"/>
      <c r="AC259" s="169"/>
      <c r="AD259" s="169"/>
      <c r="AE259" s="169"/>
      <c r="AF259" s="169"/>
      <c r="AG259" s="169"/>
      <c r="AH259" s="169"/>
    </row>
    <row r="260" ht="15.75" customHeight="1">
      <c r="A260" s="169"/>
      <c r="B260" s="38" t="s">
        <v>1031</v>
      </c>
      <c r="C260" s="186" t="s">
        <v>3524</v>
      </c>
      <c r="D260" s="40" t="s">
        <v>3292</v>
      </c>
      <c r="E260" s="40" t="s">
        <v>3378</v>
      </c>
      <c r="F260" s="40" t="s">
        <v>1083</v>
      </c>
      <c r="G260" s="39" t="s">
        <v>1035</v>
      </c>
      <c r="H260" s="48" t="s">
        <v>3525</v>
      </c>
      <c r="I260" s="188">
        <v>44742.0</v>
      </c>
      <c r="J260" s="188">
        <v>44773.0</v>
      </c>
      <c r="K260" s="189">
        <v>801.0</v>
      </c>
      <c r="L260" s="19"/>
      <c r="M260" s="186" t="s">
        <v>3515</v>
      </c>
      <c r="N260" s="42"/>
      <c r="O260" s="169"/>
      <c r="P260" s="169"/>
      <c r="Q260" s="169"/>
      <c r="R260" s="169"/>
      <c r="S260" s="169"/>
      <c r="T260" s="169"/>
      <c r="U260" s="169"/>
      <c r="V260" s="169"/>
      <c r="W260" s="169"/>
      <c r="X260" s="169"/>
      <c r="Y260" s="169"/>
      <c r="Z260" s="169"/>
      <c r="AA260" s="169"/>
      <c r="AB260" s="169"/>
      <c r="AC260" s="169"/>
      <c r="AD260" s="169"/>
      <c r="AE260" s="169"/>
      <c r="AF260" s="169"/>
      <c r="AG260" s="169"/>
      <c r="AH260" s="169"/>
    </row>
    <row r="261" ht="15.75" customHeight="1">
      <c r="A261" s="169"/>
      <c r="B261" s="38" t="s">
        <v>1031</v>
      </c>
      <c r="C261" s="186" t="s">
        <v>3526</v>
      </c>
      <c r="D261" s="40" t="s">
        <v>1114</v>
      </c>
      <c r="E261" s="40" t="s">
        <v>3378</v>
      </c>
      <c r="F261" s="40" t="s">
        <v>1083</v>
      </c>
      <c r="G261" s="39" t="s">
        <v>1035</v>
      </c>
      <c r="H261" s="48" t="s">
        <v>3527</v>
      </c>
      <c r="I261" s="188">
        <v>44742.0</v>
      </c>
      <c r="J261" s="188">
        <v>44773.0</v>
      </c>
      <c r="K261" s="189">
        <v>875.0</v>
      </c>
      <c r="L261" s="19"/>
      <c r="M261" s="186" t="s">
        <v>1113</v>
      </c>
      <c r="N261" s="119" t="s">
        <v>1115</v>
      </c>
      <c r="O261" s="169"/>
      <c r="P261" s="169"/>
      <c r="Q261" s="169"/>
      <c r="R261" s="169"/>
      <c r="S261" s="169"/>
      <c r="T261" s="169"/>
      <c r="U261" s="169"/>
      <c r="V261" s="169"/>
      <c r="W261" s="169"/>
      <c r="X261" s="169"/>
      <c r="Y261" s="169"/>
      <c r="Z261" s="169"/>
      <c r="AA261" s="169"/>
      <c r="AB261" s="169"/>
      <c r="AC261" s="169"/>
      <c r="AD261" s="169"/>
      <c r="AE261" s="169"/>
      <c r="AF261" s="169"/>
      <c r="AG261" s="169"/>
      <c r="AH261" s="169"/>
    </row>
    <row r="262" ht="15.75" customHeight="1">
      <c r="A262" s="169"/>
      <c r="B262" s="116" t="s">
        <v>2020</v>
      </c>
      <c r="C262" s="186" t="s">
        <v>3528</v>
      </c>
      <c r="D262" s="40" t="s">
        <v>3529</v>
      </c>
      <c r="E262" s="40"/>
      <c r="F262" s="40"/>
      <c r="G262" s="39"/>
      <c r="H262" s="42" t="s">
        <v>3530</v>
      </c>
      <c r="I262" s="188">
        <v>44068.0</v>
      </c>
      <c r="J262" s="188">
        <v>44133.0</v>
      </c>
      <c r="K262" s="189">
        <v>488.0</v>
      </c>
      <c r="L262" s="19"/>
      <c r="M262" s="192" t="s">
        <v>3531</v>
      </c>
      <c r="N262" s="42"/>
      <c r="O262" s="169"/>
      <c r="P262" s="169"/>
      <c r="Q262" s="169"/>
      <c r="R262" s="169"/>
      <c r="S262" s="169"/>
      <c r="T262" s="169"/>
      <c r="U262" s="169"/>
      <c r="V262" s="169"/>
      <c r="W262" s="169"/>
      <c r="X262" s="169"/>
      <c r="Y262" s="169"/>
      <c r="Z262" s="169"/>
      <c r="AA262" s="169"/>
      <c r="AB262" s="169"/>
      <c r="AC262" s="169"/>
      <c r="AD262" s="169"/>
      <c r="AE262" s="169"/>
      <c r="AF262" s="169"/>
      <c r="AG262" s="169"/>
      <c r="AH262" s="169"/>
    </row>
    <row r="263" ht="15.75" customHeight="1">
      <c r="A263" s="169"/>
      <c r="B263" s="116" t="s">
        <v>3532</v>
      </c>
      <c r="C263" s="186" t="s">
        <v>3533</v>
      </c>
      <c r="D263" s="40" t="s">
        <v>3534</v>
      </c>
      <c r="E263" s="40"/>
      <c r="F263" s="40"/>
      <c r="G263" s="39"/>
      <c r="H263" s="42" t="s">
        <v>3535</v>
      </c>
      <c r="I263" s="188">
        <v>44005.0</v>
      </c>
      <c r="J263" s="188">
        <v>44070.0</v>
      </c>
      <c r="K263" s="189">
        <v>76.0</v>
      </c>
      <c r="L263" s="19"/>
      <c r="M263" s="192" t="s">
        <v>3536</v>
      </c>
      <c r="N263" s="42"/>
      <c r="O263" s="169"/>
      <c r="P263" s="169"/>
      <c r="Q263" s="169"/>
      <c r="R263" s="169"/>
      <c r="S263" s="169"/>
      <c r="T263" s="169"/>
      <c r="U263" s="169"/>
      <c r="V263" s="169"/>
      <c r="W263" s="169"/>
      <c r="X263" s="169"/>
      <c r="Y263" s="169"/>
      <c r="Z263" s="169"/>
      <c r="AA263" s="169"/>
      <c r="AB263" s="169"/>
      <c r="AC263" s="169"/>
      <c r="AD263" s="169"/>
      <c r="AE263" s="169"/>
      <c r="AF263" s="169"/>
      <c r="AG263" s="169"/>
      <c r="AH263" s="169"/>
    </row>
    <row r="264" ht="15.75" customHeight="1">
      <c r="A264" s="169"/>
      <c r="B264" s="116" t="s">
        <v>3532</v>
      </c>
      <c r="C264" s="186" t="s">
        <v>3537</v>
      </c>
      <c r="D264" s="40" t="s">
        <v>3538</v>
      </c>
      <c r="E264" s="40"/>
      <c r="F264" s="40"/>
      <c r="G264" s="39"/>
      <c r="H264" s="42" t="s">
        <v>3539</v>
      </c>
      <c r="I264" s="188">
        <v>43998.0</v>
      </c>
      <c r="J264" s="188">
        <v>44063.0</v>
      </c>
      <c r="K264" s="189">
        <v>184.0</v>
      </c>
      <c r="L264" s="19"/>
      <c r="M264" s="192" t="s">
        <v>3540</v>
      </c>
      <c r="N264" s="42"/>
      <c r="O264" s="169"/>
      <c r="P264" s="169"/>
      <c r="Q264" s="169"/>
      <c r="R264" s="169"/>
      <c r="S264" s="169"/>
      <c r="T264" s="169"/>
      <c r="U264" s="169"/>
      <c r="V264" s="169"/>
      <c r="W264" s="169"/>
      <c r="X264" s="169"/>
      <c r="Y264" s="169"/>
      <c r="Z264" s="169"/>
      <c r="AA264" s="169"/>
      <c r="AB264" s="169"/>
      <c r="AC264" s="169"/>
      <c r="AD264" s="169"/>
      <c r="AE264" s="169"/>
      <c r="AF264" s="169"/>
      <c r="AG264" s="169"/>
      <c r="AH264" s="169"/>
    </row>
    <row r="265" ht="15.75" customHeight="1">
      <c r="A265" s="169"/>
      <c r="B265" s="116" t="s">
        <v>3532</v>
      </c>
      <c r="C265" s="186" t="s">
        <v>3541</v>
      </c>
      <c r="D265" s="40" t="s">
        <v>3542</v>
      </c>
      <c r="E265" s="40"/>
      <c r="F265" s="198"/>
      <c r="G265" s="39"/>
      <c r="H265" s="42" t="s">
        <v>3543</v>
      </c>
      <c r="I265" s="188">
        <v>44005.0</v>
      </c>
      <c r="J265" s="188">
        <v>44070.0</v>
      </c>
      <c r="K265" s="189">
        <v>25.0</v>
      </c>
      <c r="L265" s="19"/>
      <c r="M265" s="192" t="s">
        <v>2893</v>
      </c>
      <c r="N265" s="42"/>
      <c r="O265" s="169"/>
      <c r="P265" s="169"/>
      <c r="Q265" s="169"/>
      <c r="R265" s="169"/>
      <c r="S265" s="169"/>
      <c r="T265" s="169"/>
      <c r="U265" s="169"/>
      <c r="V265" s="169"/>
      <c r="W265" s="169"/>
      <c r="X265" s="169"/>
      <c r="Y265" s="169"/>
      <c r="Z265" s="169"/>
      <c r="AA265" s="169"/>
      <c r="AB265" s="169"/>
      <c r="AC265" s="169"/>
      <c r="AD265" s="169"/>
      <c r="AE265" s="169"/>
      <c r="AF265" s="169"/>
      <c r="AG265" s="169"/>
      <c r="AH265" s="169"/>
    </row>
    <row r="266" ht="15.75" customHeight="1">
      <c r="A266" s="169"/>
      <c r="B266" s="38" t="s">
        <v>3532</v>
      </c>
      <c r="C266" s="186" t="s">
        <v>3544</v>
      </c>
      <c r="D266" s="40" t="s">
        <v>3545</v>
      </c>
      <c r="E266" s="40"/>
      <c r="F266" s="40"/>
      <c r="G266" s="39"/>
      <c r="H266" s="42" t="s">
        <v>3546</v>
      </c>
      <c r="I266" s="188">
        <v>44005.0</v>
      </c>
      <c r="J266" s="188">
        <v>44070.0</v>
      </c>
      <c r="K266" s="189">
        <v>391.0</v>
      </c>
      <c r="L266" s="19"/>
      <c r="M266" s="192" t="s">
        <v>3547</v>
      </c>
      <c r="N266" s="42"/>
      <c r="O266" s="169"/>
      <c r="P266" s="169"/>
      <c r="Q266" s="169"/>
      <c r="R266" s="169"/>
      <c r="S266" s="169"/>
      <c r="T266" s="169"/>
      <c r="U266" s="169"/>
      <c r="V266" s="169"/>
      <c r="W266" s="169"/>
      <c r="X266" s="169"/>
      <c r="Y266" s="169"/>
      <c r="Z266" s="169"/>
      <c r="AA266" s="169"/>
      <c r="AB266" s="169"/>
      <c r="AC266" s="169"/>
      <c r="AD266" s="169"/>
      <c r="AE266" s="169"/>
      <c r="AF266" s="169"/>
      <c r="AG266" s="169"/>
      <c r="AH266" s="169"/>
    </row>
    <row r="267" ht="15.75" customHeight="1">
      <c r="A267" s="169"/>
      <c r="B267" s="38" t="s">
        <v>3532</v>
      </c>
      <c r="C267" s="186" t="s">
        <v>3548</v>
      </c>
      <c r="D267" s="40" t="s">
        <v>3549</v>
      </c>
      <c r="E267" s="40"/>
      <c r="F267" s="40"/>
      <c r="G267" s="39"/>
      <c r="H267" s="42" t="s">
        <v>3550</v>
      </c>
      <c r="I267" s="188">
        <v>44005.0</v>
      </c>
      <c r="J267" s="188">
        <v>44070.0</v>
      </c>
      <c r="K267" s="189">
        <v>45.0</v>
      </c>
      <c r="L267" s="19"/>
      <c r="M267" s="192" t="s">
        <v>3551</v>
      </c>
      <c r="N267" s="42"/>
      <c r="O267" s="169"/>
      <c r="P267" s="169"/>
      <c r="Q267" s="169"/>
      <c r="R267" s="169"/>
      <c r="S267" s="169"/>
      <c r="T267" s="169"/>
      <c r="U267" s="169"/>
      <c r="V267" s="169"/>
      <c r="W267" s="169"/>
      <c r="X267" s="169"/>
      <c r="Y267" s="169"/>
      <c r="Z267" s="169"/>
      <c r="AA267" s="169"/>
      <c r="AB267" s="169"/>
      <c r="AC267" s="169"/>
      <c r="AD267" s="169"/>
      <c r="AE267" s="169"/>
      <c r="AF267" s="169"/>
      <c r="AG267" s="169"/>
      <c r="AH267" s="169"/>
    </row>
    <row r="268" ht="15.75" customHeight="1">
      <c r="A268" s="169"/>
      <c r="B268" s="38" t="s">
        <v>3532</v>
      </c>
      <c r="C268" s="186" t="s">
        <v>3551</v>
      </c>
      <c r="D268" s="40" t="s">
        <v>3549</v>
      </c>
      <c r="E268" s="40"/>
      <c r="F268" s="40"/>
      <c r="G268" s="39"/>
      <c r="H268" s="42" t="s">
        <v>3550</v>
      </c>
      <c r="I268" s="188">
        <v>44803.0</v>
      </c>
      <c r="J268" s="188">
        <v>44803.0</v>
      </c>
      <c r="K268" s="189">
        <v>39.0</v>
      </c>
      <c r="L268" s="19"/>
      <c r="M268" s="192" t="s">
        <v>3552</v>
      </c>
      <c r="N268" s="119" t="s">
        <v>3553</v>
      </c>
      <c r="O268" s="169"/>
      <c r="P268" s="169"/>
      <c r="Q268" s="169"/>
      <c r="R268" s="169"/>
      <c r="S268" s="169"/>
      <c r="T268" s="169"/>
      <c r="U268" s="169"/>
      <c r="V268" s="169"/>
      <c r="W268" s="169"/>
      <c r="X268" s="169"/>
      <c r="Y268" s="169"/>
      <c r="Z268" s="169"/>
      <c r="AA268" s="169"/>
      <c r="AB268" s="169"/>
      <c r="AC268" s="169"/>
      <c r="AD268" s="169"/>
      <c r="AE268" s="169"/>
      <c r="AF268" s="169"/>
      <c r="AG268" s="169"/>
      <c r="AH268" s="169"/>
    </row>
    <row r="269" ht="15.75" customHeight="1">
      <c r="A269" s="169"/>
      <c r="B269" s="116" t="s">
        <v>3532</v>
      </c>
      <c r="C269" s="186" t="s">
        <v>3554</v>
      </c>
      <c r="D269" s="40" t="s">
        <v>3555</v>
      </c>
      <c r="E269" s="40"/>
      <c r="F269" s="198"/>
      <c r="G269" s="39"/>
      <c r="H269" s="42" t="s">
        <v>3556</v>
      </c>
      <c r="I269" s="188">
        <v>44803.0</v>
      </c>
      <c r="J269" s="188">
        <v>44803.0</v>
      </c>
      <c r="K269" s="189">
        <v>43.0</v>
      </c>
      <c r="L269" s="19"/>
      <c r="M269" s="192" t="s">
        <v>3557</v>
      </c>
      <c r="N269" s="119" t="s">
        <v>3556</v>
      </c>
      <c r="O269" s="169"/>
      <c r="P269" s="169"/>
      <c r="Q269" s="169"/>
      <c r="R269" s="169"/>
      <c r="S269" s="169"/>
      <c r="T269" s="169"/>
      <c r="U269" s="169"/>
      <c r="V269" s="169"/>
      <c r="W269" s="169"/>
      <c r="X269" s="169"/>
      <c r="Y269" s="169"/>
      <c r="Z269" s="169"/>
      <c r="AA269" s="169"/>
      <c r="AB269" s="169"/>
      <c r="AC269" s="169"/>
      <c r="AD269" s="169"/>
      <c r="AE269" s="169"/>
      <c r="AF269" s="169"/>
      <c r="AG269" s="169"/>
      <c r="AH269" s="169"/>
    </row>
    <row r="270" ht="15.75" customHeight="1">
      <c r="A270" s="169"/>
      <c r="B270" s="38" t="s">
        <v>3532</v>
      </c>
      <c r="C270" s="186" t="s">
        <v>3558</v>
      </c>
      <c r="D270" s="40" t="s">
        <v>3559</v>
      </c>
      <c r="E270" s="40"/>
      <c r="F270" s="40"/>
      <c r="G270" s="39"/>
      <c r="H270" s="42" t="s">
        <v>3553</v>
      </c>
      <c r="I270" s="188">
        <v>44803.0</v>
      </c>
      <c r="J270" s="188">
        <v>44803.0</v>
      </c>
      <c r="K270" s="189">
        <v>63.0</v>
      </c>
      <c r="L270" s="19"/>
      <c r="M270" s="192" t="s">
        <v>3552</v>
      </c>
      <c r="N270" s="119" t="s">
        <v>3553</v>
      </c>
      <c r="O270" s="169"/>
      <c r="P270" s="169"/>
      <c r="Q270" s="169"/>
      <c r="R270" s="169"/>
      <c r="S270" s="169"/>
      <c r="T270" s="169"/>
      <c r="U270" s="169"/>
      <c r="V270" s="169"/>
      <c r="W270" s="169"/>
      <c r="X270" s="169"/>
      <c r="Y270" s="169"/>
      <c r="Z270" s="169"/>
      <c r="AA270" s="169"/>
      <c r="AB270" s="169"/>
      <c r="AC270" s="169"/>
      <c r="AD270" s="169"/>
      <c r="AE270" s="169"/>
      <c r="AF270" s="169"/>
      <c r="AG270" s="169"/>
      <c r="AH270" s="169"/>
    </row>
    <row r="271" ht="15.75" customHeight="1">
      <c r="A271" s="169"/>
      <c r="B271" s="38" t="s">
        <v>3532</v>
      </c>
      <c r="C271" s="186" t="s">
        <v>3560</v>
      </c>
      <c r="D271" s="40" t="s">
        <v>3561</v>
      </c>
      <c r="E271" s="40"/>
      <c r="F271" s="40"/>
      <c r="G271" s="39"/>
      <c r="H271" s="42" t="s">
        <v>3562</v>
      </c>
      <c r="I271" s="188">
        <v>44803.0</v>
      </c>
      <c r="J271" s="188">
        <v>44803.0</v>
      </c>
      <c r="K271" s="189">
        <v>146.0</v>
      </c>
      <c r="L271" s="19"/>
      <c r="M271" s="192" t="s">
        <v>3563</v>
      </c>
      <c r="N271" s="119" t="s">
        <v>3562</v>
      </c>
      <c r="O271" s="169"/>
      <c r="P271" s="169"/>
      <c r="Q271" s="169"/>
      <c r="R271" s="169"/>
      <c r="S271" s="169"/>
      <c r="T271" s="169"/>
      <c r="U271" s="169"/>
      <c r="V271" s="169"/>
      <c r="W271" s="169"/>
      <c r="X271" s="169"/>
      <c r="Y271" s="169"/>
      <c r="Z271" s="169"/>
      <c r="AA271" s="169"/>
      <c r="AB271" s="169"/>
      <c r="AC271" s="169"/>
      <c r="AD271" s="169"/>
      <c r="AE271" s="169"/>
      <c r="AF271" s="169"/>
      <c r="AG271" s="169"/>
      <c r="AH271" s="169"/>
    </row>
    <row r="272" ht="15.75" customHeight="1">
      <c r="A272" s="169"/>
      <c r="B272" s="38" t="s">
        <v>23</v>
      </c>
      <c r="C272" s="186" t="s">
        <v>3564</v>
      </c>
      <c r="D272" s="40" t="s">
        <v>3565</v>
      </c>
      <c r="E272" s="40"/>
      <c r="F272" s="40"/>
      <c r="G272" s="39"/>
      <c r="H272" s="42" t="s">
        <v>3566</v>
      </c>
      <c r="I272" s="188">
        <v>44527.0</v>
      </c>
      <c r="J272" s="188">
        <v>44592.0</v>
      </c>
      <c r="K272" s="189">
        <v>67.0</v>
      </c>
      <c r="L272" s="19"/>
      <c r="M272" s="192" t="s">
        <v>3567</v>
      </c>
      <c r="N272" s="42"/>
      <c r="O272" s="169"/>
      <c r="P272" s="169"/>
      <c r="Q272" s="169"/>
      <c r="R272" s="169"/>
      <c r="S272" s="169"/>
      <c r="T272" s="169"/>
      <c r="U272" s="169"/>
      <c r="V272" s="169"/>
      <c r="W272" s="169"/>
      <c r="X272" s="169"/>
      <c r="Y272" s="169"/>
      <c r="Z272" s="169"/>
      <c r="AA272" s="169"/>
      <c r="AB272" s="169"/>
      <c r="AC272" s="169"/>
      <c r="AD272" s="169"/>
      <c r="AE272" s="169"/>
      <c r="AF272" s="169"/>
      <c r="AG272" s="169"/>
      <c r="AH272" s="169"/>
    </row>
    <row r="273" ht="15.75" customHeight="1">
      <c r="A273" s="169"/>
      <c r="B273" s="38" t="s">
        <v>23</v>
      </c>
      <c r="C273" s="186" t="s">
        <v>3568</v>
      </c>
      <c r="D273" s="40" t="s">
        <v>1739</v>
      </c>
      <c r="E273" s="40"/>
      <c r="F273" s="40"/>
      <c r="G273" s="39"/>
      <c r="H273" s="42" t="s">
        <v>3569</v>
      </c>
      <c r="I273" s="188">
        <v>43619.0</v>
      </c>
      <c r="J273" s="188">
        <v>43684.0</v>
      </c>
      <c r="K273" s="189">
        <v>698.0</v>
      </c>
      <c r="L273" s="19"/>
      <c r="M273" s="192" t="s">
        <v>2893</v>
      </c>
      <c r="N273" s="42"/>
      <c r="O273" s="169"/>
      <c r="P273" s="169"/>
      <c r="Q273" s="169"/>
      <c r="R273" s="169"/>
      <c r="S273" s="169"/>
      <c r="T273" s="169"/>
      <c r="U273" s="169"/>
      <c r="V273" s="169"/>
      <c r="W273" s="169"/>
      <c r="X273" s="169"/>
      <c r="Y273" s="169"/>
      <c r="Z273" s="169"/>
      <c r="AA273" s="169"/>
      <c r="AB273" s="169"/>
      <c r="AC273" s="169"/>
      <c r="AD273" s="169"/>
      <c r="AE273" s="169"/>
      <c r="AF273" s="169"/>
      <c r="AG273" s="169"/>
      <c r="AH273" s="169"/>
    </row>
    <row r="274" ht="15.75" customHeight="1">
      <c r="A274" s="169"/>
      <c r="B274" s="116" t="s">
        <v>2061</v>
      </c>
      <c r="C274" s="186" t="s">
        <v>3570</v>
      </c>
      <c r="D274" s="48" t="s">
        <v>3571</v>
      </c>
      <c r="E274" s="40"/>
      <c r="F274" s="40"/>
      <c r="G274" s="39"/>
      <c r="H274" s="42" t="s">
        <v>3571</v>
      </c>
      <c r="I274" s="188">
        <v>44369.0</v>
      </c>
      <c r="J274" s="188">
        <v>44434.0</v>
      </c>
      <c r="K274" s="189">
        <v>110.0</v>
      </c>
      <c r="L274" s="19"/>
      <c r="M274" s="192" t="s">
        <v>2893</v>
      </c>
      <c r="N274" s="42"/>
      <c r="O274" s="169"/>
      <c r="P274" s="169"/>
      <c r="Q274" s="169"/>
      <c r="R274" s="169"/>
      <c r="S274" s="169"/>
      <c r="T274" s="169"/>
      <c r="U274" s="169"/>
      <c r="V274" s="169"/>
      <c r="W274" s="169"/>
      <c r="X274" s="169"/>
      <c r="Y274" s="169"/>
      <c r="Z274" s="169"/>
      <c r="AA274" s="169"/>
      <c r="AB274" s="169"/>
      <c r="AC274" s="169"/>
      <c r="AD274" s="169"/>
      <c r="AE274" s="169"/>
      <c r="AF274" s="169"/>
      <c r="AG274" s="169"/>
      <c r="AH274" s="169"/>
    </row>
    <row r="275" ht="15.75" customHeight="1">
      <c r="A275" s="169"/>
      <c r="B275" s="38" t="s">
        <v>23</v>
      </c>
      <c r="C275" s="186" t="s">
        <v>3572</v>
      </c>
      <c r="D275" s="40" t="s">
        <v>1739</v>
      </c>
      <c r="E275" s="40"/>
      <c r="F275" s="40"/>
      <c r="G275" s="39"/>
      <c r="H275" s="42" t="s">
        <v>3573</v>
      </c>
      <c r="I275" s="188">
        <v>44369.0</v>
      </c>
      <c r="J275" s="188">
        <v>44434.0</v>
      </c>
      <c r="K275" s="189">
        <v>37.0</v>
      </c>
      <c r="L275" s="19"/>
      <c r="M275" s="192" t="s">
        <v>1741</v>
      </c>
      <c r="N275" s="119" t="s">
        <v>1743</v>
      </c>
      <c r="O275" s="169"/>
      <c r="P275" s="169"/>
      <c r="Q275" s="169"/>
      <c r="R275" s="169"/>
      <c r="S275" s="169"/>
      <c r="T275" s="169"/>
      <c r="U275" s="169"/>
      <c r="V275" s="169"/>
      <c r="W275" s="169"/>
      <c r="X275" s="169"/>
      <c r="Y275" s="169"/>
      <c r="Z275" s="169"/>
      <c r="AA275" s="169"/>
      <c r="AB275" s="169"/>
      <c r="AC275" s="169"/>
      <c r="AD275" s="169"/>
      <c r="AE275" s="169"/>
      <c r="AF275" s="169"/>
      <c r="AG275" s="169"/>
      <c r="AH275" s="169"/>
    </row>
    <row r="276" ht="15.75" customHeight="1">
      <c r="A276" s="169"/>
      <c r="B276" s="38" t="s">
        <v>23</v>
      </c>
      <c r="C276" s="186" t="s">
        <v>3574</v>
      </c>
      <c r="D276" s="40" t="s">
        <v>1739</v>
      </c>
      <c r="E276" s="40"/>
      <c r="F276" s="40"/>
      <c r="G276" s="39"/>
      <c r="H276" s="42" t="s">
        <v>3575</v>
      </c>
      <c r="I276" s="188">
        <v>44369.0</v>
      </c>
      <c r="J276" s="188">
        <v>44434.0</v>
      </c>
      <c r="K276" s="189">
        <v>37.0</v>
      </c>
      <c r="L276" s="19"/>
      <c r="M276" s="192" t="s">
        <v>1744</v>
      </c>
      <c r="N276" s="119" t="s">
        <v>1745</v>
      </c>
      <c r="O276" s="169"/>
      <c r="P276" s="169"/>
      <c r="Q276" s="169"/>
      <c r="R276" s="169"/>
      <c r="S276" s="169"/>
      <c r="T276" s="169"/>
      <c r="U276" s="169"/>
      <c r="V276" s="169"/>
      <c r="W276" s="169"/>
      <c r="X276" s="169"/>
      <c r="Y276" s="169"/>
      <c r="Z276" s="169"/>
      <c r="AA276" s="169"/>
      <c r="AB276" s="169"/>
      <c r="AC276" s="169"/>
      <c r="AD276" s="169"/>
      <c r="AE276" s="169"/>
      <c r="AF276" s="169"/>
      <c r="AG276" s="169"/>
      <c r="AH276" s="169"/>
    </row>
    <row r="277" ht="15.75" customHeight="1">
      <c r="A277" s="169"/>
      <c r="B277" s="38" t="s">
        <v>23</v>
      </c>
      <c r="C277" s="186" t="s">
        <v>3576</v>
      </c>
      <c r="D277" s="40" t="s">
        <v>1702</v>
      </c>
      <c r="E277" s="40"/>
      <c r="F277" s="40"/>
      <c r="G277" s="39"/>
      <c r="H277" s="42" t="s">
        <v>3577</v>
      </c>
      <c r="I277" s="188">
        <v>44369.0</v>
      </c>
      <c r="J277" s="188">
        <v>44434.0</v>
      </c>
      <c r="K277" s="189">
        <v>37.0</v>
      </c>
      <c r="L277" s="19"/>
      <c r="M277" s="192" t="s">
        <v>1691</v>
      </c>
      <c r="N277" s="119" t="s">
        <v>1693</v>
      </c>
      <c r="O277" s="169"/>
      <c r="P277" s="169"/>
      <c r="Q277" s="169"/>
      <c r="R277" s="169"/>
      <c r="S277" s="169"/>
      <c r="T277" s="169"/>
      <c r="U277" s="169"/>
      <c r="V277" s="169"/>
      <c r="W277" s="169"/>
      <c r="X277" s="169"/>
      <c r="Y277" s="169"/>
      <c r="Z277" s="169"/>
      <c r="AA277" s="169"/>
      <c r="AB277" s="169"/>
      <c r="AC277" s="169"/>
      <c r="AD277" s="169"/>
      <c r="AE277" s="169"/>
      <c r="AF277" s="169"/>
      <c r="AG277" s="169"/>
      <c r="AH277" s="169"/>
    </row>
    <row r="278" ht="15.75" customHeight="1">
      <c r="A278" s="169"/>
      <c r="B278" s="38" t="s">
        <v>23</v>
      </c>
      <c r="C278" s="186" t="s">
        <v>3578</v>
      </c>
      <c r="D278" s="40" t="s">
        <v>1702</v>
      </c>
      <c r="E278" s="40"/>
      <c r="F278" s="40"/>
      <c r="G278" s="39"/>
      <c r="H278" s="42" t="s">
        <v>3579</v>
      </c>
      <c r="I278" s="188">
        <v>44369.0</v>
      </c>
      <c r="J278" s="188">
        <v>44434.0</v>
      </c>
      <c r="K278" s="189">
        <v>37.0</v>
      </c>
      <c r="L278" s="19"/>
      <c r="M278" s="192" t="s">
        <v>3580</v>
      </c>
      <c r="N278" s="42" t="s">
        <v>3581</v>
      </c>
      <c r="O278" s="169"/>
      <c r="P278" s="169"/>
      <c r="Q278" s="169"/>
      <c r="R278" s="169"/>
      <c r="S278" s="169"/>
      <c r="T278" s="169"/>
      <c r="U278" s="169"/>
      <c r="V278" s="169"/>
      <c r="W278" s="169"/>
      <c r="X278" s="169"/>
      <c r="Y278" s="169"/>
      <c r="Z278" s="169"/>
      <c r="AA278" s="169"/>
      <c r="AB278" s="169"/>
      <c r="AC278" s="169"/>
      <c r="AD278" s="169"/>
      <c r="AE278" s="169"/>
      <c r="AF278" s="169"/>
      <c r="AG278" s="169"/>
      <c r="AH278" s="169"/>
    </row>
    <row r="279" ht="15.75" customHeight="1">
      <c r="A279" s="169"/>
      <c r="B279" s="38" t="s">
        <v>23</v>
      </c>
      <c r="C279" s="186" t="s">
        <v>3582</v>
      </c>
      <c r="D279" s="40" t="s">
        <v>1806</v>
      </c>
      <c r="E279" s="40"/>
      <c r="F279" s="40"/>
      <c r="G279" s="39"/>
      <c r="H279" s="42" t="s">
        <v>3583</v>
      </c>
      <c r="I279" s="188">
        <v>44494.0</v>
      </c>
      <c r="J279" s="188">
        <v>44559.0</v>
      </c>
      <c r="K279" s="189">
        <v>526.0</v>
      </c>
      <c r="L279" s="19"/>
      <c r="M279" s="192" t="s">
        <v>2893</v>
      </c>
      <c r="N279" s="42"/>
      <c r="O279" s="169"/>
      <c r="P279" s="169"/>
      <c r="Q279" s="169"/>
      <c r="R279" s="169"/>
      <c r="S279" s="169"/>
      <c r="T279" s="169"/>
      <c r="U279" s="169"/>
      <c r="V279" s="169"/>
      <c r="W279" s="169"/>
      <c r="X279" s="169"/>
      <c r="Y279" s="169"/>
      <c r="Z279" s="169"/>
      <c r="AA279" s="169"/>
      <c r="AB279" s="169"/>
      <c r="AC279" s="169"/>
      <c r="AD279" s="169"/>
      <c r="AE279" s="169"/>
      <c r="AF279" s="169"/>
      <c r="AG279" s="169"/>
      <c r="AH279" s="169"/>
    </row>
    <row r="280" ht="15.75" customHeight="1">
      <c r="A280" s="169"/>
      <c r="B280" s="38" t="s">
        <v>23</v>
      </c>
      <c r="C280" s="186" t="s">
        <v>3584</v>
      </c>
      <c r="D280" s="40" t="s">
        <v>1532</v>
      </c>
      <c r="E280" s="40"/>
      <c r="F280" s="40"/>
      <c r="G280" s="39"/>
      <c r="H280" s="42" t="s">
        <v>3585</v>
      </c>
      <c r="I280" s="188">
        <v>44461.0</v>
      </c>
      <c r="J280" s="188">
        <v>44526.0</v>
      </c>
      <c r="K280" s="189">
        <v>25.0</v>
      </c>
      <c r="L280" s="19"/>
      <c r="M280" s="192" t="s">
        <v>1595</v>
      </c>
      <c r="N280" s="119" t="s">
        <v>1596</v>
      </c>
      <c r="O280" s="169"/>
      <c r="P280" s="169"/>
      <c r="Q280" s="169"/>
      <c r="R280" s="169"/>
      <c r="S280" s="169"/>
      <c r="T280" s="169"/>
      <c r="U280" s="169"/>
      <c r="V280" s="169"/>
      <c r="W280" s="169"/>
      <c r="X280" s="169"/>
      <c r="Y280" s="169"/>
      <c r="Z280" s="169"/>
      <c r="AA280" s="169"/>
      <c r="AB280" s="169"/>
      <c r="AC280" s="169"/>
      <c r="AD280" s="169"/>
      <c r="AE280" s="169"/>
      <c r="AF280" s="169"/>
      <c r="AG280" s="169"/>
      <c r="AH280" s="169"/>
    </row>
    <row r="281" ht="15.75" customHeight="1">
      <c r="A281" s="169"/>
      <c r="B281" s="38" t="s">
        <v>23</v>
      </c>
      <c r="C281" s="186" t="s">
        <v>3586</v>
      </c>
      <c r="D281" s="40" t="s">
        <v>1806</v>
      </c>
      <c r="E281" s="40"/>
      <c r="F281" s="40"/>
      <c r="G281" s="39"/>
      <c r="H281" s="42" t="s">
        <v>3587</v>
      </c>
      <c r="I281" s="188">
        <v>44494.0</v>
      </c>
      <c r="J281" s="188">
        <v>44559.0</v>
      </c>
      <c r="K281" s="189">
        <v>526.0</v>
      </c>
      <c r="L281" s="19"/>
      <c r="M281" s="192" t="s">
        <v>2893</v>
      </c>
      <c r="N281" s="42"/>
      <c r="O281" s="169"/>
      <c r="P281" s="169"/>
      <c r="Q281" s="169"/>
      <c r="R281" s="169"/>
      <c r="S281" s="169"/>
      <c r="T281" s="169"/>
      <c r="U281" s="169"/>
      <c r="V281" s="169"/>
      <c r="W281" s="169"/>
      <c r="X281" s="169"/>
      <c r="Y281" s="169"/>
      <c r="Z281" s="169"/>
      <c r="AA281" s="169"/>
      <c r="AB281" s="169"/>
      <c r="AC281" s="169"/>
      <c r="AD281" s="169"/>
      <c r="AE281" s="169"/>
      <c r="AF281" s="169"/>
      <c r="AG281" s="169"/>
      <c r="AH281" s="169"/>
    </row>
    <row r="282" ht="15.75" customHeight="1">
      <c r="A282" s="169"/>
      <c r="B282" s="38" t="s">
        <v>23</v>
      </c>
      <c r="C282" s="186" t="s">
        <v>3588</v>
      </c>
      <c r="D282" s="40" t="s">
        <v>1532</v>
      </c>
      <c r="E282" s="40"/>
      <c r="F282" s="40"/>
      <c r="G282" s="39"/>
      <c r="H282" s="42" t="s">
        <v>3589</v>
      </c>
      <c r="I282" s="188">
        <v>44494.0</v>
      </c>
      <c r="J282" s="188">
        <v>44559.0</v>
      </c>
      <c r="K282" s="189">
        <v>59.0</v>
      </c>
      <c r="L282" s="19"/>
      <c r="M282" s="192" t="s">
        <v>2893</v>
      </c>
      <c r="N282" s="42"/>
      <c r="O282" s="169"/>
      <c r="P282" s="169"/>
      <c r="Q282" s="169"/>
      <c r="R282" s="169"/>
      <c r="S282" s="169"/>
      <c r="T282" s="169"/>
      <c r="U282" s="169"/>
      <c r="V282" s="169"/>
      <c r="W282" s="169"/>
      <c r="X282" s="169"/>
      <c r="Y282" s="169"/>
      <c r="Z282" s="169"/>
      <c r="AA282" s="169"/>
      <c r="AB282" s="169"/>
      <c r="AC282" s="169"/>
      <c r="AD282" s="169"/>
      <c r="AE282" s="169"/>
      <c r="AF282" s="169"/>
      <c r="AG282" s="169"/>
      <c r="AH282" s="169"/>
    </row>
    <row r="283" ht="15.75" customHeight="1">
      <c r="A283" s="169"/>
      <c r="B283" s="38" t="s">
        <v>23</v>
      </c>
      <c r="C283" s="186" t="s">
        <v>3590</v>
      </c>
      <c r="D283" s="40" t="s">
        <v>1532</v>
      </c>
      <c r="E283" s="40"/>
      <c r="F283" s="40"/>
      <c r="G283" s="39"/>
      <c r="H283" s="42" t="s">
        <v>3591</v>
      </c>
      <c r="I283" s="188">
        <v>44594.0</v>
      </c>
      <c r="J283" s="188">
        <v>44659.0</v>
      </c>
      <c r="K283" s="189">
        <v>60.0</v>
      </c>
      <c r="L283" s="19"/>
      <c r="M283" s="192" t="s">
        <v>2893</v>
      </c>
      <c r="N283" s="42"/>
      <c r="O283" s="169"/>
      <c r="P283" s="169"/>
      <c r="Q283" s="169"/>
      <c r="R283" s="169"/>
      <c r="S283" s="169"/>
      <c r="T283" s="169"/>
      <c r="U283" s="169"/>
      <c r="V283" s="169"/>
      <c r="W283" s="169"/>
      <c r="X283" s="169"/>
      <c r="Y283" s="169"/>
      <c r="Z283" s="169"/>
      <c r="AA283" s="169"/>
      <c r="AB283" s="169"/>
      <c r="AC283" s="169"/>
      <c r="AD283" s="169"/>
      <c r="AE283" s="169"/>
      <c r="AF283" s="169"/>
      <c r="AG283" s="169"/>
      <c r="AH283" s="169"/>
    </row>
    <row r="284" ht="15.75" customHeight="1">
      <c r="A284" s="169"/>
      <c r="B284" s="38" t="s">
        <v>23</v>
      </c>
      <c r="C284" s="186" t="s">
        <v>3592</v>
      </c>
      <c r="D284" s="39" t="s">
        <v>1609</v>
      </c>
      <c r="E284" s="39"/>
      <c r="F284" s="39"/>
      <c r="G284" s="39"/>
      <c r="H284" s="110"/>
      <c r="I284" s="188">
        <v>43561.0</v>
      </c>
      <c r="J284" s="188">
        <v>43626.0</v>
      </c>
      <c r="K284" s="189">
        <v>183.0</v>
      </c>
      <c r="L284" s="19"/>
      <c r="M284" s="192" t="s">
        <v>1659</v>
      </c>
      <c r="N284" s="119" t="s">
        <v>1660</v>
      </c>
      <c r="O284" s="169"/>
      <c r="P284" s="169"/>
      <c r="Q284" s="169"/>
      <c r="R284" s="169"/>
      <c r="S284" s="169"/>
      <c r="T284" s="169"/>
      <c r="U284" s="169"/>
      <c r="V284" s="169"/>
      <c r="W284" s="169"/>
      <c r="X284" s="169"/>
      <c r="Y284" s="169"/>
      <c r="Z284" s="169"/>
      <c r="AA284" s="169"/>
      <c r="AB284" s="169"/>
      <c r="AC284" s="169"/>
      <c r="AD284" s="169"/>
      <c r="AE284" s="169"/>
      <c r="AF284" s="169"/>
      <c r="AG284" s="169"/>
      <c r="AH284" s="169"/>
    </row>
    <row r="285" ht="15.75" customHeight="1">
      <c r="A285" s="169"/>
      <c r="B285" s="38" t="s">
        <v>23</v>
      </c>
      <c r="C285" s="186" t="s">
        <v>3593</v>
      </c>
      <c r="D285" s="40" t="s">
        <v>1879</v>
      </c>
      <c r="E285" s="40"/>
      <c r="F285" s="40"/>
      <c r="G285" s="39"/>
      <c r="H285" s="42" t="s">
        <v>1890</v>
      </c>
      <c r="I285" s="188">
        <v>44068.0</v>
      </c>
      <c r="J285" s="188">
        <v>44133.0</v>
      </c>
      <c r="K285" s="189">
        <v>291.0</v>
      </c>
      <c r="L285" s="19"/>
      <c r="M285" s="192" t="s">
        <v>1889</v>
      </c>
      <c r="N285" s="119" t="s">
        <v>1890</v>
      </c>
      <c r="O285" s="169"/>
      <c r="P285" s="169"/>
      <c r="Q285" s="169"/>
      <c r="R285" s="169"/>
      <c r="S285" s="169"/>
      <c r="T285" s="169"/>
      <c r="U285" s="169"/>
      <c r="V285" s="169"/>
      <c r="W285" s="169"/>
      <c r="X285" s="169"/>
      <c r="Y285" s="169"/>
      <c r="Z285" s="169"/>
      <c r="AA285" s="169"/>
      <c r="AB285" s="169"/>
      <c r="AC285" s="169"/>
      <c r="AD285" s="169"/>
      <c r="AE285" s="169"/>
      <c r="AF285" s="169"/>
      <c r="AG285" s="169"/>
      <c r="AH285" s="169"/>
    </row>
    <row r="286" ht="15.75" customHeight="1">
      <c r="A286" s="169"/>
      <c r="B286" s="38" t="s">
        <v>23</v>
      </c>
      <c r="C286" s="186" t="s">
        <v>3594</v>
      </c>
      <c r="D286" s="40" t="s">
        <v>1879</v>
      </c>
      <c r="E286" s="40"/>
      <c r="F286" s="40"/>
      <c r="G286" s="39"/>
      <c r="H286" s="42" t="s">
        <v>3595</v>
      </c>
      <c r="I286" s="188">
        <v>44264.0</v>
      </c>
      <c r="J286" s="188">
        <v>44329.0</v>
      </c>
      <c r="K286" s="189">
        <v>410.0</v>
      </c>
      <c r="L286" s="19"/>
      <c r="M286" s="192" t="s">
        <v>1891</v>
      </c>
      <c r="N286" s="119" t="s">
        <v>1892</v>
      </c>
      <c r="O286" s="169"/>
      <c r="P286" s="169"/>
      <c r="Q286" s="169"/>
      <c r="R286" s="169"/>
      <c r="S286" s="169"/>
      <c r="T286" s="169"/>
      <c r="U286" s="169"/>
      <c r="V286" s="169"/>
      <c r="W286" s="169"/>
      <c r="X286" s="169"/>
      <c r="Y286" s="169"/>
      <c r="Z286" s="169"/>
      <c r="AA286" s="169"/>
      <c r="AB286" s="169"/>
      <c r="AC286" s="169"/>
      <c r="AD286" s="169"/>
      <c r="AE286" s="169"/>
      <c r="AF286" s="169"/>
      <c r="AG286" s="169"/>
      <c r="AH286" s="169"/>
    </row>
    <row r="287" ht="15.75" customHeight="1">
      <c r="A287" s="169"/>
      <c r="B287" s="38" t="s">
        <v>26</v>
      </c>
      <c r="C287" s="186" t="s">
        <v>3596</v>
      </c>
      <c r="D287" s="40" t="s">
        <v>3597</v>
      </c>
      <c r="E287" s="40"/>
      <c r="F287" s="40" t="s">
        <v>623</v>
      </c>
      <c r="G287" s="39" t="s">
        <v>26</v>
      </c>
      <c r="H287" s="48" t="s">
        <v>3598</v>
      </c>
      <c r="I287" s="188">
        <v>44742.0</v>
      </c>
      <c r="J287" s="188">
        <v>45382.0</v>
      </c>
      <c r="K287" s="189">
        <v>78.0</v>
      </c>
      <c r="L287" s="19"/>
      <c r="M287" s="192" t="s">
        <v>2893</v>
      </c>
      <c r="N287" s="42"/>
      <c r="O287" s="169"/>
      <c r="P287" s="169"/>
      <c r="Q287" s="169"/>
      <c r="R287" s="169"/>
      <c r="S287" s="169"/>
      <c r="T287" s="169"/>
      <c r="U287" s="169"/>
      <c r="V287" s="169"/>
      <c r="W287" s="169"/>
      <c r="X287" s="169"/>
      <c r="Y287" s="169"/>
      <c r="Z287" s="169"/>
      <c r="AA287" s="169"/>
      <c r="AB287" s="169"/>
      <c r="AC287" s="169"/>
      <c r="AD287" s="169"/>
      <c r="AE287" s="169"/>
      <c r="AF287" s="169"/>
      <c r="AG287" s="169"/>
      <c r="AH287" s="169"/>
    </row>
    <row r="288" ht="15.75" customHeight="1">
      <c r="A288" s="169"/>
      <c r="B288" s="38" t="s">
        <v>26</v>
      </c>
      <c r="C288" s="186" t="s">
        <v>3599</v>
      </c>
      <c r="D288" s="40" t="s">
        <v>3597</v>
      </c>
      <c r="E288" s="40"/>
      <c r="F288" s="40" t="s">
        <v>623</v>
      </c>
      <c r="G288" s="39" t="s">
        <v>26</v>
      </c>
      <c r="H288" s="48" t="s">
        <v>3600</v>
      </c>
      <c r="I288" s="188">
        <v>44742.0</v>
      </c>
      <c r="J288" s="188">
        <v>45443.0</v>
      </c>
      <c r="K288" s="189">
        <v>65.0</v>
      </c>
      <c r="L288" s="19"/>
      <c r="M288" s="192" t="s">
        <v>2893</v>
      </c>
      <c r="N288" s="42"/>
      <c r="O288" s="169"/>
      <c r="P288" s="169"/>
      <c r="Q288" s="169"/>
      <c r="R288" s="169"/>
      <c r="S288" s="169"/>
      <c r="T288" s="169"/>
      <c r="U288" s="169"/>
      <c r="V288" s="169"/>
      <c r="W288" s="169"/>
      <c r="X288" s="169"/>
      <c r="Y288" s="169"/>
      <c r="Z288" s="169"/>
      <c r="AA288" s="169"/>
      <c r="AB288" s="169"/>
      <c r="AC288" s="169"/>
      <c r="AD288" s="169"/>
      <c r="AE288" s="169"/>
      <c r="AF288" s="169"/>
      <c r="AG288" s="169"/>
      <c r="AH288" s="169"/>
    </row>
    <row r="289" ht="15.75" customHeight="1">
      <c r="A289" s="169"/>
      <c r="B289" s="38" t="s">
        <v>26</v>
      </c>
      <c r="C289" s="186" t="s">
        <v>3601</v>
      </c>
      <c r="D289" s="40" t="s">
        <v>3597</v>
      </c>
      <c r="E289" s="40"/>
      <c r="F289" s="40" t="s">
        <v>623</v>
      </c>
      <c r="G289" s="39" t="s">
        <v>26</v>
      </c>
      <c r="H289" s="48" t="s">
        <v>3602</v>
      </c>
      <c r="I289" s="188">
        <v>44742.0</v>
      </c>
      <c r="J289" s="188">
        <v>45443.0</v>
      </c>
      <c r="K289" s="189">
        <v>65.0</v>
      </c>
      <c r="L289" s="19"/>
      <c r="M289" s="192" t="s">
        <v>2893</v>
      </c>
      <c r="N289" s="42"/>
      <c r="O289" s="169"/>
      <c r="P289" s="169"/>
      <c r="Q289" s="169"/>
      <c r="R289" s="169"/>
      <c r="S289" s="169"/>
      <c r="T289" s="169"/>
      <c r="U289" s="169"/>
      <c r="V289" s="169"/>
      <c r="W289" s="169"/>
      <c r="X289" s="169"/>
      <c r="Y289" s="169"/>
      <c r="Z289" s="169"/>
      <c r="AA289" s="169"/>
      <c r="AB289" s="169"/>
      <c r="AC289" s="169"/>
      <c r="AD289" s="169"/>
      <c r="AE289" s="169"/>
      <c r="AF289" s="169"/>
      <c r="AG289" s="169"/>
      <c r="AH289" s="169"/>
    </row>
    <row r="290" ht="15.75" customHeight="1">
      <c r="A290" s="169"/>
      <c r="B290" s="38" t="s">
        <v>26</v>
      </c>
      <c r="C290" s="186" t="s">
        <v>3603</v>
      </c>
      <c r="D290" s="40" t="s">
        <v>3597</v>
      </c>
      <c r="E290" s="40"/>
      <c r="F290" s="40" t="s">
        <v>623</v>
      </c>
      <c r="G290" s="39" t="s">
        <v>26</v>
      </c>
      <c r="H290" s="48" t="s">
        <v>3604</v>
      </c>
      <c r="I290" s="188">
        <v>44742.0</v>
      </c>
      <c r="J290" s="188">
        <v>45443.0</v>
      </c>
      <c r="K290" s="189">
        <v>65.0</v>
      </c>
      <c r="L290" s="19"/>
      <c r="M290" s="192" t="s">
        <v>2893</v>
      </c>
      <c r="N290" s="42"/>
      <c r="O290" s="169"/>
      <c r="P290" s="169"/>
      <c r="Q290" s="169"/>
      <c r="R290" s="169"/>
      <c r="S290" s="169"/>
      <c r="T290" s="169"/>
      <c r="U290" s="169"/>
      <c r="V290" s="169"/>
      <c r="W290" s="169"/>
      <c r="X290" s="169"/>
      <c r="Y290" s="169"/>
      <c r="Z290" s="169"/>
      <c r="AA290" s="169"/>
      <c r="AB290" s="169"/>
      <c r="AC290" s="169"/>
      <c r="AD290" s="169"/>
      <c r="AE290" s="169"/>
      <c r="AF290" s="169"/>
      <c r="AG290" s="169"/>
      <c r="AH290" s="169"/>
    </row>
    <row r="291" ht="15.75" customHeight="1">
      <c r="A291" s="169"/>
      <c r="B291" s="38" t="s">
        <v>26</v>
      </c>
      <c r="C291" s="186" t="s">
        <v>3605</v>
      </c>
      <c r="D291" s="40" t="s">
        <v>3606</v>
      </c>
      <c r="E291" s="40"/>
      <c r="F291" s="40"/>
      <c r="G291" s="39" t="s">
        <v>26</v>
      </c>
      <c r="H291" s="42" t="s">
        <v>3607</v>
      </c>
      <c r="I291" s="188">
        <v>44305.0</v>
      </c>
      <c r="J291" s="188">
        <v>44370.0</v>
      </c>
      <c r="K291" s="189">
        <v>60.0</v>
      </c>
      <c r="L291" s="19"/>
      <c r="M291" s="192" t="s">
        <v>2893</v>
      </c>
      <c r="N291" s="193"/>
      <c r="O291" s="169"/>
      <c r="P291" s="169"/>
      <c r="Q291" s="169"/>
      <c r="R291" s="169"/>
      <c r="S291" s="169"/>
      <c r="T291" s="169"/>
      <c r="U291" s="169"/>
      <c r="V291" s="169"/>
      <c r="W291" s="169"/>
      <c r="X291" s="169"/>
      <c r="Y291" s="169"/>
      <c r="Z291" s="169"/>
      <c r="AA291" s="169"/>
      <c r="AB291" s="169"/>
      <c r="AC291" s="169"/>
      <c r="AD291" s="169"/>
      <c r="AE291" s="169"/>
      <c r="AF291" s="169"/>
      <c r="AG291" s="169"/>
      <c r="AH291" s="169"/>
    </row>
    <row r="292" ht="15.75" customHeight="1">
      <c r="A292" s="169"/>
      <c r="B292" s="38" t="s">
        <v>26</v>
      </c>
      <c r="C292" s="186" t="s">
        <v>3608</v>
      </c>
      <c r="D292" s="40" t="s">
        <v>3606</v>
      </c>
      <c r="E292" s="40"/>
      <c r="F292" s="40"/>
      <c r="G292" s="39" t="s">
        <v>26</v>
      </c>
      <c r="H292" s="42" t="s">
        <v>3609</v>
      </c>
      <c r="I292" s="188">
        <v>43848.0</v>
      </c>
      <c r="J292" s="188">
        <v>43913.0</v>
      </c>
      <c r="K292" s="189">
        <v>90.0</v>
      </c>
      <c r="L292" s="19"/>
      <c r="M292" s="192" t="s">
        <v>2893</v>
      </c>
      <c r="N292" s="193"/>
      <c r="O292" s="169"/>
      <c r="P292" s="169"/>
      <c r="Q292" s="169"/>
      <c r="R292" s="169"/>
      <c r="S292" s="169"/>
      <c r="T292" s="169"/>
      <c r="U292" s="169"/>
      <c r="V292" s="169"/>
      <c r="W292" s="169"/>
      <c r="X292" s="169"/>
      <c r="Y292" s="169"/>
      <c r="Z292" s="169"/>
      <c r="AA292" s="169"/>
      <c r="AB292" s="169"/>
      <c r="AC292" s="169"/>
      <c r="AD292" s="169"/>
      <c r="AE292" s="169"/>
      <c r="AF292" s="169"/>
      <c r="AG292" s="169"/>
      <c r="AH292" s="169"/>
    </row>
    <row r="293" ht="15.75" customHeight="1">
      <c r="A293" s="169"/>
      <c r="B293" s="38" t="s">
        <v>26</v>
      </c>
      <c r="C293" s="186" t="s">
        <v>3610</v>
      </c>
      <c r="D293" s="40" t="s">
        <v>3611</v>
      </c>
      <c r="E293" s="40"/>
      <c r="F293" s="40" t="s">
        <v>414</v>
      </c>
      <c r="G293" s="39" t="s">
        <v>26</v>
      </c>
      <c r="H293" s="125" t="s">
        <v>3612</v>
      </c>
      <c r="I293" s="188">
        <v>44742.0</v>
      </c>
      <c r="J293" s="188">
        <v>45138.0</v>
      </c>
      <c r="K293" s="189">
        <v>120.0</v>
      </c>
      <c r="L293" s="19"/>
      <c r="M293" s="192" t="s">
        <v>2893</v>
      </c>
      <c r="N293" s="42"/>
      <c r="O293" s="169"/>
      <c r="P293" s="169"/>
      <c r="Q293" s="169"/>
      <c r="R293" s="169"/>
      <c r="S293" s="169"/>
      <c r="T293" s="169"/>
      <c r="U293" s="169"/>
      <c r="V293" s="169"/>
      <c r="W293" s="169"/>
      <c r="X293" s="169"/>
      <c r="Y293" s="169"/>
      <c r="Z293" s="169"/>
      <c r="AA293" s="169"/>
      <c r="AB293" s="169"/>
      <c r="AC293" s="169"/>
      <c r="AD293" s="169"/>
      <c r="AE293" s="169"/>
      <c r="AF293" s="169"/>
      <c r="AG293" s="169"/>
      <c r="AH293" s="169"/>
    </row>
    <row r="294" ht="15.75" customHeight="1">
      <c r="A294" s="169"/>
      <c r="B294" s="38" t="s">
        <v>26</v>
      </c>
      <c r="C294" s="186" t="s">
        <v>3613</v>
      </c>
      <c r="D294" s="40" t="s">
        <v>3611</v>
      </c>
      <c r="E294" s="40"/>
      <c r="F294" s="40" t="s">
        <v>414</v>
      </c>
      <c r="G294" s="39" t="s">
        <v>26</v>
      </c>
      <c r="H294" s="125" t="s">
        <v>3614</v>
      </c>
      <c r="I294" s="188">
        <v>44742.0</v>
      </c>
      <c r="J294" s="188">
        <v>44865.0</v>
      </c>
      <c r="K294" s="189">
        <v>120.0</v>
      </c>
      <c r="L294" s="19"/>
      <c r="M294" s="192" t="s">
        <v>2893</v>
      </c>
      <c r="N294" s="42"/>
      <c r="O294" s="169"/>
      <c r="P294" s="169"/>
      <c r="Q294" s="169"/>
      <c r="R294" s="169"/>
      <c r="S294" s="169"/>
      <c r="T294" s="169"/>
      <c r="U294" s="169"/>
      <c r="V294" s="169"/>
      <c r="W294" s="169"/>
      <c r="X294" s="169"/>
      <c r="Y294" s="169"/>
      <c r="Z294" s="169"/>
      <c r="AA294" s="169"/>
      <c r="AB294" s="169"/>
      <c r="AC294" s="169"/>
      <c r="AD294" s="169"/>
      <c r="AE294" s="169"/>
      <c r="AF294" s="169"/>
      <c r="AG294" s="169"/>
      <c r="AH294" s="169"/>
    </row>
    <row r="295" ht="15.75" customHeight="1">
      <c r="A295" s="169"/>
      <c r="B295" s="102" t="s">
        <v>26</v>
      </c>
      <c r="C295" s="199" t="s">
        <v>3615</v>
      </c>
      <c r="D295" s="104" t="s">
        <v>3611</v>
      </c>
      <c r="E295" s="104"/>
      <c r="F295" s="104" t="s">
        <v>414</v>
      </c>
      <c r="G295" s="103" t="s">
        <v>26</v>
      </c>
      <c r="H295" s="200" t="s">
        <v>3616</v>
      </c>
      <c r="I295" s="188">
        <v>44742.0</v>
      </c>
      <c r="J295" s="188">
        <v>45382.0</v>
      </c>
      <c r="K295" s="189">
        <v>120.0</v>
      </c>
      <c r="L295" s="19"/>
      <c r="M295" s="201" t="s">
        <v>2893</v>
      </c>
      <c r="N295" s="150"/>
      <c r="O295" s="169"/>
      <c r="P295" s="169"/>
      <c r="Q295" s="169"/>
      <c r="R295" s="169"/>
      <c r="S295" s="169"/>
      <c r="T295" s="169"/>
      <c r="U295" s="169"/>
      <c r="V295" s="169"/>
      <c r="W295" s="169"/>
      <c r="X295" s="169"/>
      <c r="Y295" s="169"/>
      <c r="Z295" s="169"/>
      <c r="AA295" s="169"/>
      <c r="AB295" s="169"/>
      <c r="AC295" s="169"/>
      <c r="AD295" s="169"/>
      <c r="AE295" s="169"/>
      <c r="AF295" s="169"/>
      <c r="AG295" s="169"/>
      <c r="AH295" s="169"/>
    </row>
    <row r="296" ht="15.75" customHeight="1">
      <c r="A296" s="169"/>
      <c r="B296" s="38" t="s">
        <v>2020</v>
      </c>
      <c r="C296" s="191" t="s">
        <v>3617</v>
      </c>
      <c r="D296" s="39"/>
      <c r="E296" s="39"/>
      <c r="F296" s="39"/>
      <c r="G296" s="39" t="s">
        <v>2020</v>
      </c>
      <c r="H296" s="42" t="s">
        <v>3618</v>
      </c>
      <c r="I296" s="188">
        <v>43645.0</v>
      </c>
      <c r="J296" s="188">
        <v>43710.0</v>
      </c>
      <c r="K296" s="189">
        <v>346.0</v>
      </c>
      <c r="L296" s="19"/>
      <c r="M296" s="190" t="s">
        <v>2893</v>
      </c>
      <c r="N296" s="193"/>
      <c r="O296" s="169"/>
      <c r="P296" s="169"/>
      <c r="Q296" s="169"/>
      <c r="R296" s="169"/>
      <c r="S296" s="169"/>
      <c r="T296" s="169"/>
      <c r="U296" s="169"/>
      <c r="V296" s="169"/>
      <c r="W296" s="169"/>
      <c r="X296" s="169"/>
      <c r="Y296" s="169"/>
      <c r="Z296" s="169"/>
      <c r="AA296" s="169"/>
      <c r="AB296" s="169"/>
      <c r="AC296" s="169"/>
      <c r="AD296" s="169"/>
      <c r="AE296" s="169"/>
      <c r="AF296" s="169"/>
      <c r="AG296" s="169"/>
      <c r="AH296" s="169"/>
    </row>
    <row r="297" ht="15.75" customHeight="1">
      <c r="A297" s="169"/>
      <c r="B297" s="38" t="s">
        <v>2020</v>
      </c>
      <c r="C297" s="186" t="s">
        <v>3619</v>
      </c>
      <c r="D297" s="40" t="s">
        <v>3620</v>
      </c>
      <c r="E297" s="40"/>
      <c r="F297" s="40"/>
      <c r="G297" s="39" t="s">
        <v>2020</v>
      </c>
      <c r="H297" s="42" t="s">
        <v>3621</v>
      </c>
      <c r="I297" s="188">
        <v>44677.0</v>
      </c>
      <c r="J297" s="188">
        <v>44742.0</v>
      </c>
      <c r="K297" s="189">
        <v>860.0</v>
      </c>
      <c r="L297" s="19"/>
      <c r="M297" s="192" t="s">
        <v>2055</v>
      </c>
      <c r="N297" s="119" t="s">
        <v>2057</v>
      </c>
      <c r="O297" s="169"/>
      <c r="P297" s="169"/>
      <c r="Q297" s="169"/>
      <c r="R297" s="169"/>
      <c r="S297" s="169"/>
      <c r="T297" s="169"/>
      <c r="U297" s="169"/>
      <c r="V297" s="169"/>
      <c r="W297" s="169"/>
      <c r="X297" s="169"/>
      <c r="Y297" s="169"/>
      <c r="Z297" s="169"/>
      <c r="AA297" s="169"/>
      <c r="AB297" s="169"/>
      <c r="AC297" s="169"/>
      <c r="AD297" s="169"/>
      <c r="AE297" s="169"/>
      <c r="AF297" s="169"/>
      <c r="AG297" s="169"/>
      <c r="AH297" s="169"/>
    </row>
    <row r="298" ht="15.75" customHeight="1">
      <c r="A298" s="169"/>
      <c r="B298" s="38" t="s">
        <v>2020</v>
      </c>
      <c r="C298" s="186" t="s">
        <v>3622</v>
      </c>
      <c r="D298" s="40" t="s">
        <v>3623</v>
      </c>
      <c r="E298" s="40"/>
      <c r="F298" s="40"/>
      <c r="G298" s="39" t="s">
        <v>2020</v>
      </c>
      <c r="H298" s="42" t="s">
        <v>3624</v>
      </c>
      <c r="I298" s="188">
        <v>44677.0</v>
      </c>
      <c r="J298" s="188">
        <v>44742.0</v>
      </c>
      <c r="K298" s="189">
        <v>1300.0</v>
      </c>
      <c r="L298" s="19"/>
      <c r="M298" s="192" t="s">
        <v>3625</v>
      </c>
      <c r="N298" s="42" t="s">
        <v>3626</v>
      </c>
      <c r="O298" s="169"/>
      <c r="P298" s="169"/>
      <c r="Q298" s="169"/>
      <c r="R298" s="169"/>
      <c r="S298" s="169"/>
      <c r="T298" s="169"/>
      <c r="U298" s="169"/>
      <c r="V298" s="169"/>
      <c r="W298" s="169"/>
      <c r="X298" s="169"/>
      <c r="Y298" s="169"/>
      <c r="Z298" s="169"/>
      <c r="AA298" s="169"/>
      <c r="AB298" s="169"/>
      <c r="AC298" s="169"/>
      <c r="AD298" s="169"/>
      <c r="AE298" s="169"/>
      <c r="AF298" s="169"/>
      <c r="AG298" s="169"/>
      <c r="AH298" s="169"/>
    </row>
    <row r="299" ht="15.75" customHeight="1">
      <c r="A299" s="169"/>
      <c r="B299" s="38" t="s">
        <v>2020</v>
      </c>
      <c r="C299" s="186" t="s">
        <v>3627</v>
      </c>
      <c r="D299" s="40" t="s">
        <v>3628</v>
      </c>
      <c r="E299" s="40"/>
      <c r="F299" s="40"/>
      <c r="G299" s="39" t="s">
        <v>2020</v>
      </c>
      <c r="H299" s="42" t="s">
        <v>3629</v>
      </c>
      <c r="I299" s="188">
        <v>44305.0</v>
      </c>
      <c r="J299" s="188">
        <v>44370.0</v>
      </c>
      <c r="K299" s="189">
        <v>1572.0</v>
      </c>
      <c r="L299" s="19"/>
      <c r="M299" s="192" t="s">
        <v>3630</v>
      </c>
      <c r="N299" s="119" t="s">
        <v>3631</v>
      </c>
      <c r="O299" s="169"/>
      <c r="P299" s="169"/>
      <c r="Q299" s="169"/>
      <c r="R299" s="169"/>
      <c r="S299" s="169"/>
      <c r="T299" s="169"/>
      <c r="U299" s="169"/>
      <c r="V299" s="169"/>
      <c r="W299" s="169"/>
      <c r="X299" s="169"/>
      <c r="Y299" s="169"/>
      <c r="Z299" s="169"/>
      <c r="AA299" s="169"/>
      <c r="AB299" s="169"/>
      <c r="AC299" s="169"/>
      <c r="AD299" s="169"/>
      <c r="AE299" s="169"/>
      <c r="AF299" s="169"/>
      <c r="AG299" s="169"/>
      <c r="AH299" s="169"/>
    </row>
    <row r="300" ht="15.75" customHeight="1">
      <c r="A300" s="169"/>
      <c r="B300" s="116" t="s">
        <v>118</v>
      </c>
      <c r="C300" s="186" t="s">
        <v>3632</v>
      </c>
      <c r="D300" s="118" t="s">
        <v>3633</v>
      </c>
      <c r="E300" s="118"/>
      <c r="F300" s="118" t="s">
        <v>160</v>
      </c>
      <c r="G300" s="117" t="s">
        <v>131</v>
      </c>
      <c r="H300" s="119" t="s">
        <v>3634</v>
      </c>
      <c r="I300" s="188">
        <v>44160.0</v>
      </c>
      <c r="J300" s="188">
        <v>44225.0</v>
      </c>
      <c r="K300" s="189">
        <v>1243.0</v>
      </c>
      <c r="L300" s="19"/>
      <c r="M300" s="192" t="s">
        <v>315</v>
      </c>
      <c r="N300" s="119" t="s">
        <v>3635</v>
      </c>
      <c r="O300" s="169"/>
      <c r="P300" s="169"/>
      <c r="Q300" s="169"/>
      <c r="R300" s="169"/>
      <c r="S300" s="169"/>
      <c r="T300" s="169"/>
      <c r="U300" s="169"/>
      <c r="V300" s="169"/>
      <c r="W300" s="169"/>
      <c r="X300" s="169"/>
      <c r="Y300" s="169"/>
      <c r="Z300" s="169"/>
      <c r="AA300" s="169"/>
      <c r="AB300" s="169"/>
      <c r="AC300" s="169"/>
      <c r="AD300" s="169"/>
      <c r="AE300" s="169"/>
      <c r="AF300" s="169"/>
      <c r="AG300" s="169"/>
      <c r="AH300" s="169"/>
    </row>
    <row r="301" ht="15.75" customHeight="1">
      <c r="A301" s="169"/>
      <c r="B301" s="99" t="s">
        <v>2311</v>
      </c>
      <c r="C301" s="186" t="s">
        <v>3636</v>
      </c>
      <c r="D301" s="202"/>
      <c r="E301" s="39"/>
      <c r="F301" s="39"/>
      <c r="G301" s="39"/>
      <c r="H301" s="110" t="s">
        <v>3637</v>
      </c>
      <c r="I301" s="188">
        <v>43626.0</v>
      </c>
      <c r="J301" s="188">
        <v>43691.0</v>
      </c>
      <c r="K301" s="189">
        <v>864.0</v>
      </c>
      <c r="L301" s="19"/>
      <c r="M301" s="192" t="s">
        <v>2893</v>
      </c>
      <c r="N301" s="193"/>
      <c r="O301" s="169"/>
      <c r="P301" s="169"/>
      <c r="Q301" s="169"/>
      <c r="R301" s="169"/>
      <c r="S301" s="169"/>
      <c r="T301" s="169"/>
      <c r="U301" s="169"/>
      <c r="V301" s="169"/>
      <c r="W301" s="169"/>
      <c r="X301" s="169"/>
      <c r="Y301" s="169"/>
      <c r="Z301" s="169"/>
      <c r="AA301" s="169"/>
      <c r="AB301" s="169"/>
      <c r="AC301" s="169"/>
      <c r="AD301" s="169"/>
      <c r="AE301" s="169"/>
      <c r="AF301" s="169"/>
      <c r="AG301" s="169"/>
      <c r="AH301" s="169"/>
    </row>
    <row r="302" ht="15.75" customHeight="1">
      <c r="A302" s="169"/>
      <c r="B302" s="38" t="s">
        <v>118</v>
      </c>
      <c r="C302" s="186" t="s">
        <v>3638</v>
      </c>
      <c r="D302" s="40" t="s">
        <v>3639</v>
      </c>
      <c r="E302" s="40" t="s">
        <v>3640</v>
      </c>
      <c r="F302" s="40" t="s">
        <v>623</v>
      </c>
      <c r="G302" s="39" t="s">
        <v>18</v>
      </c>
      <c r="H302" s="42" t="s">
        <v>3641</v>
      </c>
      <c r="I302" s="188">
        <v>43848.0</v>
      </c>
      <c r="J302" s="188">
        <v>43913.0</v>
      </c>
      <c r="K302" s="189">
        <v>3334.0</v>
      </c>
      <c r="L302" s="19"/>
      <c r="M302" s="192" t="s">
        <v>2893</v>
      </c>
      <c r="N302" s="193"/>
      <c r="O302" s="169"/>
      <c r="P302" s="169"/>
      <c r="Q302" s="169"/>
      <c r="R302" s="169"/>
      <c r="S302" s="169"/>
      <c r="T302" s="169"/>
      <c r="U302" s="169"/>
      <c r="V302" s="169"/>
      <c r="W302" s="169"/>
      <c r="X302" s="169"/>
      <c r="Y302" s="169"/>
      <c r="Z302" s="169"/>
      <c r="AA302" s="169"/>
      <c r="AB302" s="169"/>
      <c r="AC302" s="169"/>
      <c r="AD302" s="169"/>
      <c r="AE302" s="169"/>
      <c r="AF302" s="169"/>
      <c r="AG302" s="169"/>
      <c r="AH302" s="169"/>
    </row>
    <row r="303" ht="15.75" customHeight="1">
      <c r="A303" s="169"/>
      <c r="B303" s="38" t="s">
        <v>118</v>
      </c>
      <c r="C303" s="186" t="s">
        <v>3642</v>
      </c>
      <c r="D303" s="40" t="s">
        <v>3439</v>
      </c>
      <c r="E303" s="40" t="s">
        <v>3640</v>
      </c>
      <c r="F303" s="40" t="s">
        <v>623</v>
      </c>
      <c r="G303" s="39" t="s">
        <v>213</v>
      </c>
      <c r="H303" s="42" t="s">
        <v>3643</v>
      </c>
      <c r="I303" s="188">
        <v>44160.0</v>
      </c>
      <c r="J303" s="188">
        <v>44225.0</v>
      </c>
      <c r="K303" s="189">
        <v>3116.0</v>
      </c>
      <c r="L303" s="19"/>
      <c r="M303" s="192" t="s">
        <v>3443</v>
      </c>
      <c r="N303" s="42"/>
      <c r="O303" s="169"/>
      <c r="P303" s="169"/>
      <c r="Q303" s="169"/>
      <c r="R303" s="169"/>
      <c r="S303" s="169"/>
      <c r="T303" s="169"/>
      <c r="U303" s="169"/>
      <c r="V303" s="169"/>
      <c r="W303" s="169"/>
      <c r="X303" s="169"/>
      <c r="Y303" s="169"/>
      <c r="Z303" s="169"/>
      <c r="AA303" s="169"/>
      <c r="AB303" s="169"/>
      <c r="AC303" s="169"/>
      <c r="AD303" s="169"/>
      <c r="AE303" s="169"/>
      <c r="AF303" s="169"/>
      <c r="AG303" s="169"/>
      <c r="AH303" s="169"/>
    </row>
    <row r="304" ht="15.75" customHeight="1">
      <c r="A304" s="169"/>
      <c r="B304" s="38" t="s">
        <v>118</v>
      </c>
      <c r="C304" s="186" t="s">
        <v>3644</v>
      </c>
      <c r="D304" s="40" t="s">
        <v>848</v>
      </c>
      <c r="E304" s="40" t="s">
        <v>3640</v>
      </c>
      <c r="F304" s="40" t="s">
        <v>623</v>
      </c>
      <c r="G304" s="39" t="s">
        <v>213</v>
      </c>
      <c r="H304" s="110" t="s">
        <v>3645</v>
      </c>
      <c r="I304" s="188">
        <v>43848.0</v>
      </c>
      <c r="J304" s="188">
        <v>43913.0</v>
      </c>
      <c r="K304" s="189">
        <v>2968.0</v>
      </c>
      <c r="L304" s="19"/>
      <c r="M304" s="192" t="s">
        <v>3646</v>
      </c>
      <c r="N304" s="42" t="s">
        <v>3647</v>
      </c>
      <c r="O304" s="169"/>
      <c r="P304" s="169"/>
      <c r="Q304" s="169"/>
      <c r="R304" s="169"/>
      <c r="S304" s="169"/>
      <c r="T304" s="169"/>
      <c r="U304" s="169"/>
      <c r="V304" s="169"/>
      <c r="W304" s="169"/>
      <c r="X304" s="169"/>
      <c r="Y304" s="169"/>
      <c r="Z304" s="169"/>
      <c r="AA304" s="169"/>
      <c r="AB304" s="169"/>
      <c r="AC304" s="169"/>
      <c r="AD304" s="169"/>
      <c r="AE304" s="169"/>
      <c r="AF304" s="169"/>
      <c r="AG304" s="169"/>
      <c r="AH304" s="169"/>
    </row>
    <row r="305" ht="15.75" customHeight="1">
      <c r="A305" s="169"/>
      <c r="B305" s="38" t="s">
        <v>118</v>
      </c>
      <c r="C305" s="186" t="s">
        <v>3648</v>
      </c>
      <c r="D305" s="39" t="s">
        <v>848</v>
      </c>
      <c r="E305" s="39" t="s">
        <v>3640</v>
      </c>
      <c r="F305" s="39" t="s">
        <v>623</v>
      </c>
      <c r="G305" s="39" t="s">
        <v>213</v>
      </c>
      <c r="H305" s="42" t="s">
        <v>3649</v>
      </c>
      <c r="I305" s="188">
        <v>44160.0</v>
      </c>
      <c r="J305" s="188">
        <v>44225.0</v>
      </c>
      <c r="K305" s="189">
        <v>3153.0</v>
      </c>
      <c r="L305" s="19"/>
      <c r="M305" s="192" t="s">
        <v>3650</v>
      </c>
      <c r="N305" s="42" t="s">
        <v>3651</v>
      </c>
      <c r="O305" s="169"/>
      <c r="P305" s="169"/>
      <c r="Q305" s="169"/>
      <c r="R305" s="169"/>
      <c r="S305" s="169"/>
      <c r="T305" s="169"/>
      <c r="U305" s="169"/>
      <c r="V305" s="169"/>
      <c r="W305" s="169"/>
      <c r="X305" s="169"/>
      <c r="Y305" s="169"/>
      <c r="Z305" s="169"/>
      <c r="AA305" s="169"/>
      <c r="AB305" s="169"/>
      <c r="AC305" s="169"/>
      <c r="AD305" s="169"/>
      <c r="AE305" s="169"/>
      <c r="AF305" s="169"/>
      <c r="AG305" s="169"/>
      <c r="AH305" s="169"/>
    </row>
    <row r="306" ht="15.75" customHeight="1">
      <c r="A306" s="169"/>
      <c r="B306" s="38" t="s">
        <v>118</v>
      </c>
      <c r="C306" s="186" t="s">
        <v>3652</v>
      </c>
      <c r="D306" s="39" t="s">
        <v>3653</v>
      </c>
      <c r="E306" s="39" t="s">
        <v>3640</v>
      </c>
      <c r="F306" s="39" t="s">
        <v>623</v>
      </c>
      <c r="G306" s="39" t="s">
        <v>213</v>
      </c>
      <c r="H306" s="42" t="s">
        <v>3654</v>
      </c>
      <c r="I306" s="188">
        <v>43848.0</v>
      </c>
      <c r="J306" s="188">
        <v>43913.0</v>
      </c>
      <c r="K306" s="189">
        <v>4100.0</v>
      </c>
      <c r="L306" s="19"/>
      <c r="M306" s="192" t="s">
        <v>3655</v>
      </c>
      <c r="N306" s="42"/>
      <c r="O306" s="169"/>
      <c r="P306" s="169"/>
      <c r="Q306" s="169"/>
      <c r="R306" s="169"/>
      <c r="S306" s="169"/>
      <c r="T306" s="169"/>
      <c r="U306" s="169"/>
      <c r="V306" s="169"/>
      <c r="W306" s="169"/>
      <c r="X306" s="169"/>
      <c r="Y306" s="169"/>
      <c r="Z306" s="169"/>
      <c r="AA306" s="169"/>
      <c r="AB306" s="169"/>
      <c r="AC306" s="169"/>
      <c r="AD306" s="169"/>
      <c r="AE306" s="169"/>
      <c r="AF306" s="169"/>
      <c r="AG306" s="169"/>
      <c r="AH306" s="169"/>
    </row>
    <row r="307" ht="15.75" customHeight="1">
      <c r="A307" s="169"/>
      <c r="B307" s="38" t="s">
        <v>118</v>
      </c>
      <c r="C307" s="186" t="s">
        <v>3656</v>
      </c>
      <c r="D307" s="40" t="s">
        <v>848</v>
      </c>
      <c r="E307" s="40" t="s">
        <v>3640</v>
      </c>
      <c r="F307" s="40" t="s">
        <v>623</v>
      </c>
      <c r="G307" s="39" t="s">
        <v>213</v>
      </c>
      <c r="H307" s="110" t="s">
        <v>3657</v>
      </c>
      <c r="I307" s="188">
        <v>43632.0</v>
      </c>
      <c r="J307" s="188">
        <v>43697.0</v>
      </c>
      <c r="K307" s="189">
        <v>2894.0</v>
      </c>
      <c r="L307" s="19"/>
      <c r="M307" s="192" t="s">
        <v>3658</v>
      </c>
      <c r="N307" s="42" t="s">
        <v>3659</v>
      </c>
      <c r="O307" s="169"/>
      <c r="P307" s="169"/>
      <c r="Q307" s="169"/>
      <c r="R307" s="169"/>
      <c r="S307" s="169"/>
      <c r="T307" s="169"/>
      <c r="U307" s="169"/>
      <c r="V307" s="169"/>
      <c r="W307" s="169"/>
      <c r="X307" s="169"/>
      <c r="Y307" s="169"/>
      <c r="Z307" s="169"/>
      <c r="AA307" s="169"/>
      <c r="AB307" s="169"/>
      <c r="AC307" s="169"/>
      <c r="AD307" s="169"/>
      <c r="AE307" s="169"/>
      <c r="AF307" s="169"/>
      <c r="AG307" s="169"/>
      <c r="AH307" s="169"/>
    </row>
    <row r="308" ht="15.75" customHeight="1">
      <c r="A308" s="169"/>
      <c r="B308" s="38" t="s">
        <v>118</v>
      </c>
      <c r="C308" s="186" t="s">
        <v>3660</v>
      </c>
      <c r="D308" s="40" t="s">
        <v>848</v>
      </c>
      <c r="E308" s="40" t="s">
        <v>3640</v>
      </c>
      <c r="F308" s="40" t="s">
        <v>623</v>
      </c>
      <c r="G308" s="39" t="s">
        <v>213</v>
      </c>
      <c r="H308" s="110" t="s">
        <v>3661</v>
      </c>
      <c r="I308" s="188">
        <v>43848.0</v>
      </c>
      <c r="J308" s="188">
        <v>43913.0</v>
      </c>
      <c r="K308" s="189">
        <v>3023.0</v>
      </c>
      <c r="L308" s="19"/>
      <c r="M308" s="192" t="s">
        <v>3662</v>
      </c>
      <c r="N308" s="42" t="s">
        <v>3663</v>
      </c>
      <c r="O308" s="169"/>
      <c r="P308" s="169"/>
      <c r="Q308" s="169"/>
      <c r="R308" s="169"/>
      <c r="S308" s="169"/>
      <c r="T308" s="169"/>
      <c r="U308" s="169"/>
      <c r="V308" s="169"/>
      <c r="W308" s="169"/>
      <c r="X308" s="169"/>
      <c r="Y308" s="169"/>
      <c r="Z308" s="169"/>
      <c r="AA308" s="169"/>
      <c r="AB308" s="169"/>
      <c r="AC308" s="169"/>
      <c r="AD308" s="169"/>
      <c r="AE308" s="169"/>
      <c r="AF308" s="169"/>
      <c r="AG308" s="169"/>
      <c r="AH308" s="169"/>
    </row>
    <row r="309" ht="15.75" customHeight="1">
      <c r="A309" s="169"/>
      <c r="B309" s="38" t="s">
        <v>118</v>
      </c>
      <c r="C309" s="186" t="s">
        <v>3664</v>
      </c>
      <c r="D309" s="40" t="s">
        <v>3439</v>
      </c>
      <c r="E309" s="40" t="s">
        <v>3640</v>
      </c>
      <c r="F309" s="40" t="s">
        <v>623</v>
      </c>
      <c r="G309" s="39" t="s">
        <v>213</v>
      </c>
      <c r="H309" s="42" t="s">
        <v>3665</v>
      </c>
      <c r="I309" s="188">
        <v>44160.0</v>
      </c>
      <c r="J309" s="188">
        <v>44225.0</v>
      </c>
      <c r="K309" s="189">
        <v>1280.0</v>
      </c>
      <c r="L309" s="19"/>
      <c r="M309" s="192" t="s">
        <v>3441</v>
      </c>
      <c r="N309" s="42"/>
      <c r="O309" s="169"/>
      <c r="P309" s="169"/>
      <c r="Q309" s="169"/>
      <c r="R309" s="169"/>
      <c r="S309" s="169"/>
      <c r="T309" s="169"/>
      <c r="U309" s="169"/>
      <c r="V309" s="169"/>
      <c r="W309" s="169"/>
      <c r="X309" s="169"/>
      <c r="Y309" s="169"/>
      <c r="Z309" s="169"/>
      <c r="AA309" s="169"/>
      <c r="AB309" s="169"/>
      <c r="AC309" s="169"/>
      <c r="AD309" s="169"/>
      <c r="AE309" s="169"/>
      <c r="AF309" s="169"/>
      <c r="AG309" s="169"/>
      <c r="AH309" s="169"/>
    </row>
    <row r="310" ht="15.75" customHeight="1">
      <c r="A310" s="169"/>
      <c r="B310" s="38" t="s">
        <v>118</v>
      </c>
      <c r="C310" s="186" t="s">
        <v>3666</v>
      </c>
      <c r="D310" s="40" t="s">
        <v>3439</v>
      </c>
      <c r="E310" s="40" t="s">
        <v>3640</v>
      </c>
      <c r="F310" s="40" t="s">
        <v>623</v>
      </c>
      <c r="G310" s="39" t="s">
        <v>213</v>
      </c>
      <c r="H310" s="110" t="s">
        <v>3667</v>
      </c>
      <c r="I310" s="188">
        <v>44250.0</v>
      </c>
      <c r="J310" s="188">
        <v>44315.0</v>
      </c>
      <c r="K310" s="189">
        <v>1450.0</v>
      </c>
      <c r="L310" s="19"/>
      <c r="M310" s="192" t="s">
        <v>3441</v>
      </c>
      <c r="N310" s="42"/>
      <c r="O310" s="169"/>
      <c r="P310" s="169"/>
      <c r="Q310" s="169"/>
      <c r="R310" s="169"/>
      <c r="S310" s="169"/>
      <c r="T310" s="169"/>
      <c r="U310" s="169"/>
      <c r="V310" s="169"/>
      <c r="W310" s="169"/>
      <c r="X310" s="169"/>
      <c r="Y310" s="169"/>
      <c r="Z310" s="169"/>
      <c r="AA310" s="169"/>
      <c r="AB310" s="169"/>
      <c r="AC310" s="169"/>
      <c r="AD310" s="169"/>
      <c r="AE310" s="169"/>
      <c r="AF310" s="169"/>
      <c r="AG310" s="169"/>
      <c r="AH310" s="169"/>
    </row>
    <row r="311" ht="15.75" customHeight="1">
      <c r="A311" s="169"/>
      <c r="B311" s="38" t="s">
        <v>118</v>
      </c>
      <c r="C311" s="186" t="s">
        <v>3668</v>
      </c>
      <c r="D311" s="40" t="s">
        <v>3669</v>
      </c>
      <c r="E311" s="40" t="s">
        <v>3640</v>
      </c>
      <c r="F311" s="40" t="s">
        <v>623</v>
      </c>
      <c r="G311" s="39" t="s">
        <v>213</v>
      </c>
      <c r="H311" s="42" t="s">
        <v>3670</v>
      </c>
      <c r="I311" s="188">
        <v>43848.0</v>
      </c>
      <c r="J311" s="188">
        <v>43913.0</v>
      </c>
      <c r="K311" s="189">
        <v>1700.0</v>
      </c>
      <c r="L311" s="19"/>
      <c r="M311" s="192" t="s">
        <v>3443</v>
      </c>
      <c r="N311" s="42"/>
      <c r="O311" s="169"/>
      <c r="P311" s="169"/>
      <c r="Q311" s="169"/>
      <c r="R311" s="169"/>
      <c r="S311" s="169"/>
      <c r="T311" s="169"/>
      <c r="U311" s="169"/>
      <c r="V311" s="169"/>
      <c r="W311" s="169"/>
      <c r="X311" s="169"/>
      <c r="Y311" s="169"/>
      <c r="Z311" s="169"/>
      <c r="AA311" s="169"/>
      <c r="AB311" s="169"/>
      <c r="AC311" s="169"/>
      <c r="AD311" s="169"/>
      <c r="AE311" s="169"/>
      <c r="AF311" s="169"/>
      <c r="AG311" s="169"/>
      <c r="AH311" s="169"/>
    </row>
    <row r="312" ht="15.75" customHeight="1">
      <c r="A312" s="169"/>
      <c r="B312" s="38" t="s">
        <v>118</v>
      </c>
      <c r="C312" s="186" t="s">
        <v>3671</v>
      </c>
      <c r="D312" s="40" t="s">
        <v>794</v>
      </c>
      <c r="E312" s="40" t="s">
        <v>3640</v>
      </c>
      <c r="F312" s="40" t="s">
        <v>623</v>
      </c>
      <c r="G312" s="39" t="s">
        <v>131</v>
      </c>
      <c r="H312" s="42" t="s">
        <v>3672</v>
      </c>
      <c r="I312" s="188">
        <v>44160.0</v>
      </c>
      <c r="J312" s="188">
        <v>44225.0</v>
      </c>
      <c r="K312" s="189">
        <v>1352.0</v>
      </c>
      <c r="L312" s="19"/>
      <c r="M312" s="192" t="s">
        <v>3673</v>
      </c>
      <c r="N312" s="42"/>
      <c r="O312" s="169"/>
      <c r="P312" s="169"/>
      <c r="Q312" s="169"/>
      <c r="R312" s="169"/>
      <c r="S312" s="169"/>
      <c r="T312" s="169"/>
      <c r="U312" s="169"/>
      <c r="V312" s="169"/>
      <c r="W312" s="169"/>
      <c r="X312" s="169"/>
      <c r="Y312" s="169"/>
      <c r="Z312" s="169"/>
      <c r="AA312" s="169"/>
      <c r="AB312" s="169"/>
      <c r="AC312" s="169"/>
      <c r="AD312" s="169"/>
      <c r="AE312" s="169"/>
      <c r="AF312" s="169"/>
      <c r="AG312" s="169"/>
      <c r="AH312" s="169"/>
    </row>
    <row r="313" ht="15.75" customHeight="1">
      <c r="A313" s="169"/>
      <c r="B313" s="38" t="s">
        <v>23</v>
      </c>
      <c r="C313" s="186" t="s">
        <v>3674</v>
      </c>
      <c r="D313" s="40" t="s">
        <v>1935</v>
      </c>
      <c r="E313" s="40"/>
      <c r="F313" s="40"/>
      <c r="G313" s="40"/>
      <c r="H313" s="42" t="s">
        <v>3675</v>
      </c>
      <c r="I313" s="188">
        <v>44404.0</v>
      </c>
      <c r="J313" s="188">
        <v>44469.0</v>
      </c>
      <c r="K313" s="189">
        <v>19.0</v>
      </c>
      <c r="L313" s="19"/>
      <c r="M313" s="192" t="s">
        <v>2893</v>
      </c>
      <c r="N313" s="193"/>
      <c r="O313" s="169"/>
      <c r="P313" s="169"/>
      <c r="Q313" s="169"/>
      <c r="R313" s="169"/>
      <c r="S313" s="169"/>
      <c r="T313" s="169"/>
      <c r="U313" s="169"/>
      <c r="V313" s="169"/>
      <c r="W313" s="169"/>
      <c r="X313" s="169"/>
      <c r="Y313" s="169"/>
      <c r="Z313" s="169"/>
      <c r="AA313" s="169"/>
      <c r="AB313" s="169"/>
      <c r="AC313" s="169"/>
      <c r="AD313" s="169"/>
      <c r="AE313" s="169"/>
      <c r="AF313" s="169"/>
      <c r="AG313" s="169"/>
      <c r="AH313" s="169"/>
    </row>
    <row r="314" ht="15.75" customHeight="1">
      <c r="A314" s="169"/>
      <c r="B314" s="38" t="s">
        <v>23</v>
      </c>
      <c r="C314" s="186" t="s">
        <v>3676</v>
      </c>
      <c r="D314" s="40" t="s">
        <v>1935</v>
      </c>
      <c r="E314" s="40"/>
      <c r="F314" s="40"/>
      <c r="G314" s="40"/>
      <c r="H314" s="42" t="s">
        <v>3677</v>
      </c>
      <c r="I314" s="188">
        <v>44404.0</v>
      </c>
      <c r="J314" s="188">
        <v>44469.0</v>
      </c>
      <c r="K314" s="189">
        <v>44.0</v>
      </c>
      <c r="L314" s="19"/>
      <c r="M314" s="192" t="s">
        <v>1959</v>
      </c>
      <c r="N314" s="119" t="s">
        <v>1960</v>
      </c>
      <c r="O314" s="169"/>
      <c r="P314" s="169"/>
      <c r="Q314" s="169"/>
      <c r="R314" s="169"/>
      <c r="S314" s="169"/>
      <c r="T314" s="169"/>
      <c r="U314" s="169"/>
      <c r="V314" s="169"/>
      <c r="W314" s="169"/>
      <c r="X314" s="169"/>
      <c r="Y314" s="169"/>
      <c r="Z314" s="169"/>
      <c r="AA314" s="169"/>
      <c r="AB314" s="169"/>
      <c r="AC314" s="169"/>
      <c r="AD314" s="169"/>
      <c r="AE314" s="169"/>
      <c r="AF314" s="169"/>
      <c r="AG314" s="169"/>
      <c r="AH314" s="169"/>
    </row>
    <row r="315" ht="15.75" customHeight="1">
      <c r="A315" s="169"/>
      <c r="B315" s="38" t="s">
        <v>1131</v>
      </c>
      <c r="C315" s="186" t="s">
        <v>3678</v>
      </c>
      <c r="D315" s="40" t="s">
        <v>3679</v>
      </c>
      <c r="E315" s="40"/>
      <c r="F315" s="40"/>
      <c r="G315" s="39" t="s">
        <v>1142</v>
      </c>
      <c r="H315" s="42" t="s">
        <v>3680</v>
      </c>
      <c r="I315" s="188">
        <v>44803.0</v>
      </c>
      <c r="J315" s="188">
        <v>44895.0</v>
      </c>
      <c r="K315" s="189">
        <v>810.0</v>
      </c>
      <c r="L315" s="19"/>
      <c r="M315" s="192" t="s">
        <v>1140</v>
      </c>
      <c r="N315" s="119" t="s">
        <v>1143</v>
      </c>
      <c r="O315" s="169"/>
      <c r="P315" s="169"/>
      <c r="Q315" s="169"/>
      <c r="R315" s="169"/>
      <c r="S315" s="169"/>
      <c r="T315" s="169"/>
      <c r="U315" s="169"/>
      <c r="V315" s="169"/>
      <c r="W315" s="169"/>
      <c r="X315" s="169"/>
      <c r="Y315" s="169"/>
      <c r="Z315" s="169"/>
      <c r="AA315" s="169"/>
      <c r="AB315" s="169"/>
      <c r="AC315" s="169"/>
      <c r="AD315" s="169"/>
      <c r="AE315" s="169"/>
      <c r="AF315" s="169"/>
      <c r="AG315" s="169"/>
      <c r="AH315" s="169"/>
    </row>
    <row r="316" ht="15.75" customHeight="1">
      <c r="A316" s="169"/>
      <c r="B316" s="38" t="s">
        <v>1131</v>
      </c>
      <c r="C316" s="186" t="s">
        <v>3681</v>
      </c>
      <c r="D316" s="40" t="s">
        <v>3679</v>
      </c>
      <c r="E316" s="40"/>
      <c r="F316" s="40"/>
      <c r="G316" s="39" t="s">
        <v>1142</v>
      </c>
      <c r="H316" s="42" t="s">
        <v>3682</v>
      </c>
      <c r="I316" s="188">
        <v>44803.0</v>
      </c>
      <c r="J316" s="188">
        <v>44957.0</v>
      </c>
      <c r="K316" s="189">
        <v>810.0</v>
      </c>
      <c r="L316" s="19"/>
      <c r="M316" s="192" t="s">
        <v>1140</v>
      </c>
      <c r="N316" s="119" t="s">
        <v>1143</v>
      </c>
      <c r="O316" s="169"/>
      <c r="P316" s="169"/>
      <c r="Q316" s="169"/>
      <c r="R316" s="169"/>
      <c r="S316" s="169"/>
      <c r="T316" s="169"/>
      <c r="U316" s="169"/>
      <c r="V316" s="169"/>
      <c r="W316" s="169"/>
      <c r="X316" s="169"/>
      <c r="Y316" s="169"/>
      <c r="Z316" s="169"/>
      <c r="AA316" s="169"/>
      <c r="AB316" s="169"/>
      <c r="AC316" s="169"/>
      <c r="AD316" s="169"/>
      <c r="AE316" s="169"/>
      <c r="AF316" s="169"/>
      <c r="AG316" s="169"/>
      <c r="AH316" s="169"/>
    </row>
    <row r="317" ht="15.75" customHeight="1">
      <c r="A317" s="169"/>
      <c r="B317" s="38" t="s">
        <v>1131</v>
      </c>
      <c r="C317" s="186" t="s">
        <v>3683</v>
      </c>
      <c r="D317" s="40" t="s">
        <v>3684</v>
      </c>
      <c r="E317" s="40"/>
      <c r="F317" s="40"/>
      <c r="G317" s="39" t="s">
        <v>1134</v>
      </c>
      <c r="H317" s="42" t="s">
        <v>3685</v>
      </c>
      <c r="I317" s="188">
        <v>43801.0</v>
      </c>
      <c r="J317" s="188">
        <v>43866.0</v>
      </c>
      <c r="K317" s="189">
        <v>276.0</v>
      </c>
      <c r="L317" s="19"/>
      <c r="M317" s="192" t="s">
        <v>2893</v>
      </c>
      <c r="N317" s="42"/>
      <c r="O317" s="169"/>
      <c r="P317" s="169"/>
      <c r="Q317" s="169"/>
      <c r="R317" s="169"/>
      <c r="S317" s="169"/>
      <c r="T317" s="169"/>
      <c r="U317" s="169"/>
      <c r="V317" s="169"/>
      <c r="W317" s="169"/>
      <c r="X317" s="169"/>
      <c r="Y317" s="169"/>
      <c r="Z317" s="169"/>
      <c r="AA317" s="169"/>
      <c r="AB317" s="169"/>
      <c r="AC317" s="169"/>
      <c r="AD317" s="169"/>
      <c r="AE317" s="169"/>
      <c r="AF317" s="169"/>
      <c r="AG317" s="169"/>
      <c r="AH317" s="169"/>
    </row>
    <row r="318" ht="15.75" customHeight="1">
      <c r="A318" s="169"/>
      <c r="B318" s="38" t="s">
        <v>1131</v>
      </c>
      <c r="C318" s="186" t="s">
        <v>3686</v>
      </c>
      <c r="D318" s="40" t="s">
        <v>3684</v>
      </c>
      <c r="E318" s="40"/>
      <c r="F318" s="40"/>
      <c r="G318" s="40" t="s">
        <v>1134</v>
      </c>
      <c r="H318" s="42" t="s">
        <v>3687</v>
      </c>
      <c r="I318" s="188">
        <v>43801.0</v>
      </c>
      <c r="J318" s="188">
        <v>43866.0</v>
      </c>
      <c r="K318" s="189">
        <v>183.0</v>
      </c>
      <c r="L318" s="19"/>
      <c r="M318" s="192" t="s">
        <v>2893</v>
      </c>
      <c r="N318" s="42"/>
      <c r="O318" s="169"/>
      <c r="P318" s="169"/>
      <c r="Q318" s="169"/>
      <c r="R318" s="169"/>
      <c r="S318" s="169"/>
      <c r="T318" s="169"/>
      <c r="U318" s="169"/>
      <c r="V318" s="169"/>
      <c r="W318" s="169"/>
      <c r="X318" s="169"/>
      <c r="Y318" s="169"/>
      <c r="Z318" s="169"/>
      <c r="AA318" s="169"/>
      <c r="AB318" s="169"/>
      <c r="AC318" s="169"/>
      <c r="AD318" s="169"/>
      <c r="AE318" s="169"/>
      <c r="AF318" s="169"/>
      <c r="AG318" s="169"/>
      <c r="AH318" s="169"/>
    </row>
    <row r="319" ht="15.75" customHeight="1">
      <c r="A319" s="169"/>
      <c r="B319" s="38" t="s">
        <v>1131</v>
      </c>
      <c r="C319" s="186" t="s">
        <v>3688</v>
      </c>
      <c r="D319" s="40" t="s">
        <v>3684</v>
      </c>
      <c r="E319" s="40"/>
      <c r="F319" s="40"/>
      <c r="G319" s="39" t="s">
        <v>1134</v>
      </c>
      <c r="H319" s="42" t="s">
        <v>3689</v>
      </c>
      <c r="I319" s="188">
        <v>44646.0</v>
      </c>
      <c r="J319" s="188">
        <v>44711.0</v>
      </c>
      <c r="K319" s="189">
        <v>242.0</v>
      </c>
      <c r="L319" s="19"/>
      <c r="M319" s="192" t="s">
        <v>2893</v>
      </c>
      <c r="N319" s="42"/>
      <c r="O319" s="169"/>
      <c r="P319" s="169"/>
      <c r="Q319" s="169"/>
      <c r="R319" s="169"/>
      <c r="S319" s="169"/>
      <c r="T319" s="169"/>
      <c r="U319" s="169"/>
      <c r="V319" s="169"/>
      <c r="W319" s="169"/>
      <c r="X319" s="169"/>
      <c r="Y319" s="169"/>
      <c r="Z319" s="169"/>
      <c r="AA319" s="169"/>
      <c r="AB319" s="169"/>
      <c r="AC319" s="169"/>
      <c r="AD319" s="169"/>
      <c r="AE319" s="169"/>
      <c r="AF319" s="169"/>
      <c r="AG319" s="169"/>
      <c r="AH319" s="169"/>
    </row>
    <row r="320" ht="15.75" customHeight="1">
      <c r="A320" s="169"/>
      <c r="B320" s="38" t="s">
        <v>1131</v>
      </c>
      <c r="C320" s="186" t="s">
        <v>3690</v>
      </c>
      <c r="D320" s="39" t="s">
        <v>1137</v>
      </c>
      <c r="E320" s="39"/>
      <c r="F320" s="39"/>
      <c r="G320" s="39" t="s">
        <v>1134</v>
      </c>
      <c r="H320" s="42" t="s">
        <v>3691</v>
      </c>
      <c r="I320" s="188">
        <v>43801.0</v>
      </c>
      <c r="J320" s="188">
        <v>43866.0</v>
      </c>
      <c r="K320" s="189">
        <v>1205.0</v>
      </c>
      <c r="L320" s="19"/>
      <c r="M320" s="192" t="s">
        <v>1136</v>
      </c>
      <c r="N320" s="119" t="s">
        <v>1138</v>
      </c>
      <c r="O320" s="169"/>
      <c r="P320" s="169"/>
      <c r="Q320" s="169"/>
      <c r="R320" s="169"/>
      <c r="S320" s="169"/>
      <c r="T320" s="169"/>
      <c r="U320" s="169"/>
      <c r="V320" s="169"/>
      <c r="W320" s="169"/>
      <c r="X320" s="169"/>
      <c r="Y320" s="169"/>
      <c r="Z320" s="169"/>
      <c r="AA320" s="169"/>
      <c r="AB320" s="169"/>
      <c r="AC320" s="169"/>
      <c r="AD320" s="169"/>
      <c r="AE320" s="169"/>
      <c r="AF320" s="169"/>
      <c r="AG320" s="169"/>
      <c r="AH320" s="169"/>
    </row>
    <row r="321" ht="15.75" customHeight="1">
      <c r="A321" s="169"/>
      <c r="B321" s="38" t="s">
        <v>1131</v>
      </c>
      <c r="C321" s="186" t="s">
        <v>3692</v>
      </c>
      <c r="D321" s="40" t="s">
        <v>1137</v>
      </c>
      <c r="E321" s="40"/>
      <c r="F321" s="40" t="s">
        <v>1051</v>
      </c>
      <c r="G321" s="39" t="s">
        <v>1134</v>
      </c>
      <c r="H321" s="48" t="s">
        <v>3691</v>
      </c>
      <c r="I321" s="188">
        <v>44742.0</v>
      </c>
      <c r="J321" s="188">
        <v>44773.0</v>
      </c>
      <c r="K321" s="189">
        <v>1205.0</v>
      </c>
      <c r="L321" s="19"/>
      <c r="M321" s="192" t="s">
        <v>1136</v>
      </c>
      <c r="N321" s="119" t="s">
        <v>1138</v>
      </c>
      <c r="O321" s="169"/>
      <c r="P321" s="169"/>
      <c r="Q321" s="169"/>
      <c r="R321" s="169"/>
      <c r="S321" s="169"/>
      <c r="T321" s="169"/>
      <c r="U321" s="169"/>
      <c r="V321" s="169"/>
      <c r="W321" s="169"/>
      <c r="X321" s="169"/>
      <c r="Y321" s="169"/>
      <c r="Z321" s="169"/>
      <c r="AA321" s="169"/>
      <c r="AB321" s="169"/>
      <c r="AC321" s="169"/>
      <c r="AD321" s="169"/>
      <c r="AE321" s="169"/>
      <c r="AF321" s="169"/>
      <c r="AG321" s="169"/>
      <c r="AH321" s="169"/>
    </row>
    <row r="322" ht="15.75" customHeight="1">
      <c r="A322" s="169"/>
      <c r="B322" s="38" t="s">
        <v>1131</v>
      </c>
      <c r="C322" s="186" t="s">
        <v>3693</v>
      </c>
      <c r="D322" s="40" t="s">
        <v>1133</v>
      </c>
      <c r="E322" s="40"/>
      <c r="F322" s="40"/>
      <c r="G322" s="39" t="s">
        <v>1134</v>
      </c>
      <c r="H322" s="42" t="s">
        <v>3694</v>
      </c>
      <c r="I322" s="188">
        <v>43801.0</v>
      </c>
      <c r="J322" s="188">
        <v>43866.0</v>
      </c>
      <c r="K322" s="189">
        <v>514.0</v>
      </c>
      <c r="L322" s="19"/>
      <c r="M322" s="192" t="s">
        <v>1132</v>
      </c>
      <c r="N322" s="119" t="s">
        <v>1135</v>
      </c>
      <c r="O322" s="169"/>
      <c r="P322" s="169"/>
      <c r="Q322" s="169"/>
      <c r="R322" s="169"/>
      <c r="S322" s="169"/>
      <c r="T322" s="169"/>
      <c r="U322" s="169"/>
      <c r="V322" s="169"/>
      <c r="W322" s="169"/>
      <c r="X322" s="169"/>
      <c r="Y322" s="169"/>
      <c r="Z322" s="169"/>
      <c r="AA322" s="169"/>
      <c r="AB322" s="169"/>
      <c r="AC322" s="169"/>
      <c r="AD322" s="169"/>
      <c r="AE322" s="169"/>
      <c r="AF322" s="169"/>
      <c r="AG322" s="169"/>
      <c r="AH322" s="169"/>
    </row>
    <row r="323" ht="15.75" customHeight="1">
      <c r="A323" s="169"/>
      <c r="B323" s="38" t="s">
        <v>1131</v>
      </c>
      <c r="C323" s="186" t="s">
        <v>3695</v>
      </c>
      <c r="D323" s="40" t="s">
        <v>1133</v>
      </c>
      <c r="E323" s="40"/>
      <c r="F323" s="40"/>
      <c r="G323" s="39" t="s">
        <v>1134</v>
      </c>
      <c r="H323" s="42" t="s">
        <v>3696</v>
      </c>
      <c r="I323" s="188">
        <v>43801.0</v>
      </c>
      <c r="J323" s="188">
        <v>43866.0</v>
      </c>
      <c r="K323" s="189">
        <v>494.0</v>
      </c>
      <c r="L323" s="19"/>
      <c r="M323" s="192" t="s">
        <v>1132</v>
      </c>
      <c r="N323" s="119" t="s">
        <v>1135</v>
      </c>
      <c r="O323" s="169"/>
      <c r="P323" s="169"/>
      <c r="Q323" s="169"/>
      <c r="R323" s="169"/>
      <c r="S323" s="169"/>
      <c r="T323" s="169"/>
      <c r="U323" s="169"/>
      <c r="V323" s="169"/>
      <c r="W323" s="169"/>
      <c r="X323" s="169"/>
      <c r="Y323" s="169"/>
      <c r="Z323" s="169"/>
      <c r="AA323" s="169"/>
      <c r="AB323" s="169"/>
      <c r="AC323" s="169"/>
      <c r="AD323" s="169"/>
      <c r="AE323" s="169"/>
      <c r="AF323" s="169"/>
      <c r="AG323" s="169"/>
      <c r="AH323" s="169"/>
    </row>
    <row r="324" ht="15.75" customHeight="1">
      <c r="A324" s="169"/>
      <c r="B324" s="38" t="s">
        <v>1131</v>
      </c>
      <c r="C324" s="186" t="s">
        <v>3697</v>
      </c>
      <c r="D324" s="40" t="s">
        <v>1133</v>
      </c>
      <c r="E324" s="40"/>
      <c r="F324" s="40"/>
      <c r="G324" s="40" t="s">
        <v>1134</v>
      </c>
      <c r="H324" s="42" t="s">
        <v>3698</v>
      </c>
      <c r="I324" s="188">
        <v>44646.0</v>
      </c>
      <c r="J324" s="188">
        <v>44711.0</v>
      </c>
      <c r="K324" s="189">
        <v>494.0</v>
      </c>
      <c r="L324" s="19"/>
      <c r="M324" s="192" t="s">
        <v>1132</v>
      </c>
      <c r="N324" s="119" t="s">
        <v>1135</v>
      </c>
      <c r="O324" s="169"/>
      <c r="P324" s="169"/>
      <c r="Q324" s="169"/>
      <c r="R324" s="169"/>
      <c r="S324" s="169"/>
      <c r="T324" s="169"/>
      <c r="U324" s="169"/>
      <c r="V324" s="169"/>
      <c r="W324" s="169"/>
      <c r="X324" s="169"/>
      <c r="Y324" s="169"/>
      <c r="Z324" s="169"/>
      <c r="AA324" s="169"/>
      <c r="AB324" s="169"/>
      <c r="AC324" s="169"/>
      <c r="AD324" s="169"/>
      <c r="AE324" s="169"/>
      <c r="AF324" s="169"/>
      <c r="AG324" s="169"/>
      <c r="AH324" s="169"/>
    </row>
    <row r="325" ht="15.75" customHeight="1">
      <c r="A325" s="169"/>
      <c r="B325" s="38" t="s">
        <v>3699</v>
      </c>
      <c r="C325" s="186" t="s">
        <v>3700</v>
      </c>
      <c r="D325" s="40"/>
      <c r="E325" s="40"/>
      <c r="F325" s="40"/>
      <c r="G325" s="39"/>
      <c r="H325" s="42" t="s">
        <v>3701</v>
      </c>
      <c r="I325" s="188">
        <v>44188.0</v>
      </c>
      <c r="J325" s="188">
        <v>44253.0</v>
      </c>
      <c r="K325" s="189">
        <v>5481.0</v>
      </c>
      <c r="L325" s="19"/>
      <c r="M325" s="192" t="s">
        <v>3702</v>
      </c>
      <c r="N325" s="42"/>
      <c r="O325" s="169"/>
      <c r="P325" s="169"/>
      <c r="Q325" s="169"/>
      <c r="R325" s="169"/>
      <c r="S325" s="169"/>
      <c r="T325" s="169"/>
      <c r="U325" s="169"/>
      <c r="V325" s="169"/>
      <c r="W325" s="169"/>
      <c r="X325" s="169"/>
      <c r="Y325" s="169"/>
      <c r="Z325" s="169"/>
      <c r="AA325" s="169"/>
      <c r="AB325" s="169"/>
      <c r="AC325" s="169"/>
      <c r="AD325" s="169"/>
      <c r="AE325" s="169"/>
      <c r="AF325" s="169"/>
      <c r="AG325" s="169"/>
      <c r="AH325" s="169"/>
    </row>
    <row r="326" ht="15.75" customHeight="1">
      <c r="A326" s="169"/>
      <c r="B326" s="38" t="s">
        <v>3699</v>
      </c>
      <c r="C326" s="186" t="s">
        <v>3702</v>
      </c>
      <c r="D326" s="40"/>
      <c r="E326" s="40"/>
      <c r="F326" s="40"/>
      <c r="G326" s="39"/>
      <c r="H326" s="42" t="s">
        <v>3703</v>
      </c>
      <c r="I326" s="188">
        <v>44250.0</v>
      </c>
      <c r="J326" s="188">
        <v>44315.0</v>
      </c>
      <c r="K326" s="189">
        <v>5330.0</v>
      </c>
      <c r="L326" s="19"/>
      <c r="M326" s="192" t="s">
        <v>2893</v>
      </c>
      <c r="N326" s="193"/>
      <c r="O326" s="169"/>
      <c r="P326" s="169"/>
      <c r="Q326" s="169"/>
      <c r="R326" s="169"/>
      <c r="S326" s="169"/>
      <c r="T326" s="169"/>
      <c r="U326" s="169"/>
      <c r="V326" s="169"/>
      <c r="W326" s="169"/>
      <c r="X326" s="169"/>
      <c r="Y326" s="169"/>
      <c r="Z326" s="169"/>
      <c r="AA326" s="169"/>
      <c r="AB326" s="169"/>
      <c r="AC326" s="169"/>
      <c r="AD326" s="169"/>
      <c r="AE326" s="169"/>
      <c r="AF326" s="169"/>
      <c r="AG326" s="169"/>
      <c r="AH326" s="169"/>
    </row>
    <row r="327" ht="15.75" customHeight="1">
      <c r="A327" s="169"/>
      <c r="B327" s="38" t="s">
        <v>3699</v>
      </c>
      <c r="C327" s="186" t="s">
        <v>3704</v>
      </c>
      <c r="D327" s="40"/>
      <c r="E327" s="40"/>
      <c r="F327" s="40"/>
      <c r="G327" s="39"/>
      <c r="H327" s="42" t="s">
        <v>3705</v>
      </c>
      <c r="I327" s="188">
        <v>44188.0</v>
      </c>
      <c r="J327" s="188">
        <v>44253.0</v>
      </c>
      <c r="K327" s="189">
        <v>7739.0</v>
      </c>
      <c r="L327" s="19"/>
      <c r="M327" s="192" t="s">
        <v>3706</v>
      </c>
      <c r="N327" s="42"/>
      <c r="O327" s="169"/>
      <c r="P327" s="169"/>
      <c r="Q327" s="169"/>
      <c r="R327" s="169"/>
      <c r="S327" s="169"/>
      <c r="T327" s="169"/>
      <c r="U327" s="169"/>
      <c r="V327" s="169"/>
      <c r="W327" s="169"/>
      <c r="X327" s="169"/>
      <c r="Y327" s="169"/>
      <c r="Z327" s="169"/>
      <c r="AA327" s="169"/>
      <c r="AB327" s="169"/>
      <c r="AC327" s="169"/>
      <c r="AD327" s="169"/>
      <c r="AE327" s="169"/>
      <c r="AF327" s="169"/>
      <c r="AG327" s="169"/>
      <c r="AH327" s="169"/>
    </row>
    <row r="328" ht="15.75" customHeight="1">
      <c r="A328" s="169"/>
      <c r="B328" s="38" t="s">
        <v>3699</v>
      </c>
      <c r="C328" s="186" t="s">
        <v>3706</v>
      </c>
      <c r="D328" s="40"/>
      <c r="E328" s="40"/>
      <c r="F328" s="40"/>
      <c r="G328" s="39"/>
      <c r="H328" s="42" t="s">
        <v>3707</v>
      </c>
      <c r="I328" s="188">
        <v>44250.0</v>
      </c>
      <c r="J328" s="188">
        <v>44315.0</v>
      </c>
      <c r="K328" s="189">
        <v>5863.0</v>
      </c>
      <c r="L328" s="19"/>
      <c r="M328" s="192" t="s">
        <v>2893</v>
      </c>
      <c r="N328" s="194"/>
      <c r="O328" s="169"/>
      <c r="P328" s="169"/>
      <c r="Q328" s="169"/>
      <c r="R328" s="169"/>
      <c r="S328" s="169"/>
      <c r="T328" s="169"/>
      <c r="U328" s="169"/>
      <c r="V328" s="169"/>
      <c r="W328" s="169"/>
      <c r="X328" s="169"/>
      <c r="Y328" s="169"/>
      <c r="Z328" s="169"/>
      <c r="AA328" s="169"/>
      <c r="AB328" s="169"/>
      <c r="AC328" s="169"/>
      <c r="AD328" s="169"/>
      <c r="AE328" s="169"/>
      <c r="AF328" s="169"/>
      <c r="AG328" s="169"/>
      <c r="AH328" s="169"/>
    </row>
    <row r="329" ht="15.75" customHeight="1">
      <c r="A329" s="169"/>
      <c r="B329" s="38" t="s">
        <v>23</v>
      </c>
      <c r="C329" s="186" t="s">
        <v>3708</v>
      </c>
      <c r="D329" s="40" t="s">
        <v>3709</v>
      </c>
      <c r="E329" s="40"/>
      <c r="F329" s="40"/>
      <c r="G329" s="39"/>
      <c r="H329" s="42" t="s">
        <v>3710</v>
      </c>
      <c r="I329" s="188">
        <v>45165.0</v>
      </c>
      <c r="J329" s="188">
        <v>45230.0</v>
      </c>
      <c r="K329" s="189">
        <v>40.0</v>
      </c>
      <c r="L329" s="19"/>
      <c r="M329" s="192" t="s">
        <v>2893</v>
      </c>
      <c r="N329" s="42"/>
      <c r="O329" s="169"/>
      <c r="P329" s="169"/>
      <c r="Q329" s="169"/>
      <c r="R329" s="169"/>
      <c r="S329" s="169"/>
      <c r="T329" s="169"/>
      <c r="U329" s="169"/>
      <c r="V329" s="169"/>
      <c r="W329" s="169"/>
      <c r="X329" s="169"/>
      <c r="Y329" s="169"/>
      <c r="Z329" s="169"/>
      <c r="AA329" s="169"/>
      <c r="AB329" s="169"/>
      <c r="AC329" s="169"/>
      <c r="AD329" s="169"/>
      <c r="AE329" s="169"/>
      <c r="AF329" s="169"/>
      <c r="AG329" s="169"/>
      <c r="AH329" s="169"/>
    </row>
    <row r="330" ht="15.75" customHeight="1">
      <c r="A330" s="169"/>
      <c r="B330" s="38" t="s">
        <v>2061</v>
      </c>
      <c r="C330" s="191" t="s">
        <v>3711</v>
      </c>
      <c r="D330" s="40"/>
      <c r="E330" s="40"/>
      <c r="F330" s="40"/>
      <c r="G330" s="39"/>
      <c r="H330" s="42" t="s">
        <v>3712</v>
      </c>
      <c r="I330" s="188">
        <v>44017.0</v>
      </c>
      <c r="J330" s="188">
        <v>44082.0</v>
      </c>
      <c r="K330" s="189">
        <v>160.0</v>
      </c>
      <c r="L330" s="19"/>
      <c r="M330" s="192" t="s">
        <v>2893</v>
      </c>
      <c r="N330" s="193"/>
      <c r="O330" s="169"/>
      <c r="P330" s="169"/>
      <c r="Q330" s="169"/>
      <c r="R330" s="169"/>
      <c r="S330" s="169"/>
      <c r="T330" s="169"/>
      <c r="U330" s="169"/>
      <c r="V330" s="169"/>
      <c r="W330" s="169"/>
      <c r="X330" s="169"/>
      <c r="Y330" s="169"/>
      <c r="Z330" s="169"/>
      <c r="AA330" s="169"/>
      <c r="AB330" s="169"/>
      <c r="AC330" s="169"/>
      <c r="AD330" s="169"/>
      <c r="AE330" s="169"/>
      <c r="AF330" s="169"/>
      <c r="AG330" s="169"/>
      <c r="AH330" s="169"/>
    </row>
    <row r="331" ht="15.75" customHeight="1">
      <c r="A331" s="169"/>
      <c r="B331" s="38" t="s">
        <v>2119</v>
      </c>
      <c r="C331" s="191" t="s">
        <v>3713</v>
      </c>
      <c r="D331" s="39" t="s">
        <v>3714</v>
      </c>
      <c r="E331" s="40"/>
      <c r="F331" s="40"/>
      <c r="G331" s="39"/>
      <c r="H331" s="42" t="s">
        <v>3715</v>
      </c>
      <c r="I331" s="188">
        <v>44586.0</v>
      </c>
      <c r="J331" s="188">
        <v>44651.0</v>
      </c>
      <c r="K331" s="189">
        <v>870.0</v>
      </c>
      <c r="L331" s="19"/>
      <c r="M331" s="192" t="s">
        <v>2893</v>
      </c>
      <c r="N331" s="193"/>
      <c r="O331" s="169"/>
      <c r="P331" s="169"/>
      <c r="Q331" s="169"/>
      <c r="R331" s="169"/>
      <c r="S331" s="169"/>
      <c r="T331" s="169"/>
      <c r="U331" s="169"/>
      <c r="V331" s="169"/>
      <c r="W331" s="169"/>
      <c r="X331" s="169"/>
      <c r="Y331" s="169"/>
      <c r="Z331" s="169"/>
      <c r="AA331" s="169"/>
      <c r="AB331" s="169"/>
      <c r="AC331" s="169"/>
      <c r="AD331" s="169"/>
      <c r="AE331" s="169"/>
      <c r="AF331" s="169"/>
      <c r="AG331" s="169"/>
      <c r="AH331" s="169"/>
    </row>
    <row r="332" ht="15.75" customHeight="1">
      <c r="A332" s="169"/>
      <c r="B332" s="38" t="s">
        <v>1031</v>
      </c>
      <c r="C332" s="191" t="s">
        <v>3716</v>
      </c>
      <c r="D332" s="40" t="s">
        <v>3717</v>
      </c>
      <c r="E332" s="40"/>
      <c r="F332" s="40"/>
      <c r="G332" s="39"/>
      <c r="H332" s="42" t="s">
        <v>3718</v>
      </c>
      <c r="I332" s="188">
        <v>44586.0</v>
      </c>
      <c r="J332" s="188">
        <v>44651.0</v>
      </c>
      <c r="K332" s="189">
        <v>18817.0</v>
      </c>
      <c r="L332" s="19"/>
      <c r="M332" s="192" t="s">
        <v>2893</v>
      </c>
      <c r="N332" s="193"/>
      <c r="O332" s="169"/>
      <c r="P332" s="169"/>
      <c r="Q332" s="169"/>
      <c r="R332" s="169"/>
      <c r="S332" s="169"/>
      <c r="T332" s="169"/>
      <c r="U332" s="169"/>
      <c r="V332" s="169"/>
      <c r="W332" s="169"/>
      <c r="X332" s="169"/>
      <c r="Y332" s="169"/>
      <c r="Z332" s="169"/>
      <c r="AA332" s="169"/>
      <c r="AB332" s="169"/>
      <c r="AC332" s="169"/>
      <c r="AD332" s="169"/>
      <c r="AE332" s="169"/>
      <c r="AF332" s="169"/>
      <c r="AG332" s="169"/>
      <c r="AH332" s="169"/>
    </row>
    <row r="333" ht="15.75" customHeight="1">
      <c r="A333" s="169"/>
      <c r="B333" s="38" t="s">
        <v>2119</v>
      </c>
      <c r="C333" s="191" t="s">
        <v>3719</v>
      </c>
      <c r="D333" s="39" t="s">
        <v>3720</v>
      </c>
      <c r="E333" s="40"/>
      <c r="F333" s="40"/>
      <c r="G333" s="39"/>
      <c r="H333" s="42" t="s">
        <v>3720</v>
      </c>
      <c r="I333" s="188">
        <v>44585.0</v>
      </c>
      <c r="J333" s="188">
        <v>44650.0</v>
      </c>
      <c r="K333" s="189">
        <v>1390.0</v>
      </c>
      <c r="L333" s="19"/>
      <c r="M333" s="192" t="s">
        <v>2893</v>
      </c>
      <c r="N333" s="194"/>
      <c r="O333" s="169"/>
      <c r="P333" s="169"/>
      <c r="Q333" s="169"/>
      <c r="R333" s="169"/>
      <c r="S333" s="169"/>
      <c r="T333" s="169"/>
      <c r="U333" s="169"/>
      <c r="V333" s="169"/>
      <c r="W333" s="169"/>
      <c r="X333" s="169"/>
      <c r="Y333" s="169"/>
      <c r="Z333" s="169"/>
      <c r="AA333" s="169"/>
      <c r="AB333" s="169"/>
      <c r="AC333" s="169"/>
      <c r="AD333" s="169"/>
      <c r="AE333" s="169"/>
      <c r="AF333" s="169"/>
      <c r="AG333" s="169"/>
      <c r="AH333" s="169"/>
    </row>
    <row r="334" ht="15.75" customHeight="1">
      <c r="A334" s="169"/>
      <c r="B334" s="38" t="s">
        <v>2119</v>
      </c>
      <c r="C334" s="191" t="s">
        <v>3721</v>
      </c>
      <c r="D334" s="39" t="s">
        <v>3722</v>
      </c>
      <c r="E334" s="40"/>
      <c r="F334" s="40"/>
      <c r="G334" s="39"/>
      <c r="H334" s="42" t="s">
        <v>3722</v>
      </c>
      <c r="I334" s="188">
        <v>44585.0</v>
      </c>
      <c r="J334" s="188">
        <v>44650.0</v>
      </c>
      <c r="K334" s="189" t="s">
        <v>2147</v>
      </c>
      <c r="L334" s="19"/>
      <c r="M334" s="192" t="s">
        <v>2893</v>
      </c>
      <c r="N334" s="193"/>
      <c r="O334" s="169"/>
      <c r="P334" s="169"/>
      <c r="Q334" s="169"/>
      <c r="R334" s="169"/>
      <c r="S334" s="169"/>
      <c r="T334" s="169"/>
      <c r="U334" s="169"/>
      <c r="V334" s="169"/>
      <c r="W334" s="169"/>
      <c r="X334" s="169"/>
      <c r="Y334" s="169"/>
      <c r="Z334" s="169"/>
      <c r="AA334" s="169"/>
      <c r="AB334" s="169"/>
      <c r="AC334" s="169"/>
      <c r="AD334" s="169"/>
      <c r="AE334" s="169"/>
      <c r="AF334" s="169"/>
      <c r="AG334" s="169"/>
      <c r="AH334" s="169"/>
    </row>
    <row r="335" ht="15.75" customHeight="1">
      <c r="A335" s="169"/>
      <c r="B335" s="38" t="s">
        <v>2119</v>
      </c>
      <c r="C335" s="191" t="s">
        <v>3723</v>
      </c>
      <c r="D335" s="39" t="s">
        <v>3724</v>
      </c>
      <c r="E335" s="40"/>
      <c r="F335" s="40"/>
      <c r="G335" s="39"/>
      <c r="H335" s="42" t="s">
        <v>3724</v>
      </c>
      <c r="I335" s="188">
        <v>44585.0</v>
      </c>
      <c r="J335" s="188">
        <v>44650.0</v>
      </c>
      <c r="K335" s="189">
        <v>3340.0</v>
      </c>
      <c r="L335" s="19"/>
      <c r="M335" s="192" t="s">
        <v>2893</v>
      </c>
      <c r="N335" s="193"/>
      <c r="O335" s="169"/>
      <c r="P335" s="169"/>
      <c r="Q335" s="169"/>
      <c r="R335" s="169"/>
      <c r="S335" s="169"/>
      <c r="T335" s="169"/>
      <c r="U335" s="169"/>
      <c r="V335" s="169"/>
      <c r="W335" s="169"/>
      <c r="X335" s="169"/>
      <c r="Y335" s="169"/>
      <c r="Z335" s="169"/>
      <c r="AA335" s="169"/>
      <c r="AB335" s="169"/>
      <c r="AC335" s="169"/>
      <c r="AD335" s="169"/>
      <c r="AE335" s="169"/>
      <c r="AF335" s="169"/>
      <c r="AG335" s="169"/>
      <c r="AH335" s="169"/>
    </row>
    <row r="336" ht="15.75" customHeight="1">
      <c r="A336" s="169"/>
      <c r="B336" s="38" t="s">
        <v>2119</v>
      </c>
      <c r="C336" s="191" t="s">
        <v>3725</v>
      </c>
      <c r="D336" s="39" t="s">
        <v>3726</v>
      </c>
      <c r="E336" s="40"/>
      <c r="F336" s="40"/>
      <c r="G336" s="39"/>
      <c r="H336" s="42" t="s">
        <v>3727</v>
      </c>
      <c r="I336" s="188">
        <v>44585.0</v>
      </c>
      <c r="J336" s="188">
        <v>44650.0</v>
      </c>
      <c r="K336" s="189">
        <v>870.0</v>
      </c>
      <c r="L336" s="19"/>
      <c r="M336" s="192" t="s">
        <v>2893</v>
      </c>
      <c r="N336" s="193"/>
      <c r="O336" s="169"/>
      <c r="P336" s="169"/>
      <c r="Q336" s="169"/>
      <c r="R336" s="169"/>
      <c r="S336" s="169"/>
      <c r="T336" s="169"/>
      <c r="U336" s="169"/>
      <c r="V336" s="169"/>
      <c r="W336" s="169"/>
      <c r="X336" s="169"/>
      <c r="Y336" s="169"/>
      <c r="Z336" s="169"/>
      <c r="AA336" s="169"/>
      <c r="AB336" s="169"/>
      <c r="AC336" s="169"/>
      <c r="AD336" s="169"/>
      <c r="AE336" s="169"/>
      <c r="AF336" s="169"/>
      <c r="AG336" s="169"/>
      <c r="AH336" s="169"/>
    </row>
    <row r="337" ht="15.75" customHeight="1">
      <c r="A337" s="169"/>
      <c r="B337" s="38" t="s">
        <v>2119</v>
      </c>
      <c r="C337" s="191" t="s">
        <v>3728</v>
      </c>
      <c r="D337" s="39" t="s">
        <v>3729</v>
      </c>
      <c r="E337" s="40"/>
      <c r="F337" s="40"/>
      <c r="G337" s="39"/>
      <c r="H337" s="42" t="s">
        <v>3730</v>
      </c>
      <c r="I337" s="188">
        <v>44585.0</v>
      </c>
      <c r="J337" s="188">
        <v>44650.0</v>
      </c>
      <c r="K337" s="189">
        <v>870.0</v>
      </c>
      <c r="L337" s="19"/>
      <c r="M337" s="192" t="s">
        <v>2893</v>
      </c>
      <c r="N337" s="193"/>
      <c r="O337" s="169"/>
      <c r="P337" s="169"/>
      <c r="Q337" s="169"/>
      <c r="R337" s="169"/>
      <c r="S337" s="169"/>
      <c r="T337" s="169"/>
      <c r="U337" s="169"/>
      <c r="V337" s="169"/>
      <c r="W337" s="169"/>
      <c r="X337" s="169"/>
      <c r="Y337" s="169"/>
      <c r="Z337" s="169"/>
      <c r="AA337" s="169"/>
      <c r="AB337" s="169"/>
      <c r="AC337" s="169"/>
      <c r="AD337" s="169"/>
      <c r="AE337" s="169"/>
      <c r="AF337" s="169"/>
      <c r="AG337" s="169"/>
      <c r="AH337" s="169"/>
    </row>
    <row r="338" ht="15.75" customHeight="1">
      <c r="A338" s="169"/>
      <c r="B338" s="38" t="s">
        <v>2119</v>
      </c>
      <c r="C338" s="191" t="s">
        <v>3731</v>
      </c>
      <c r="D338" s="39" t="s">
        <v>3732</v>
      </c>
      <c r="E338" s="40"/>
      <c r="F338" s="40"/>
      <c r="G338" s="39"/>
      <c r="H338" s="42" t="s">
        <v>3733</v>
      </c>
      <c r="I338" s="188">
        <v>44585.0</v>
      </c>
      <c r="J338" s="188">
        <v>44650.0</v>
      </c>
      <c r="K338" s="189">
        <v>530.0</v>
      </c>
      <c r="L338" s="19"/>
      <c r="M338" s="192" t="s">
        <v>2893</v>
      </c>
      <c r="N338" s="193"/>
      <c r="O338" s="169"/>
      <c r="P338" s="169"/>
      <c r="Q338" s="169"/>
      <c r="R338" s="169"/>
      <c r="S338" s="169"/>
      <c r="T338" s="169"/>
      <c r="U338" s="169"/>
      <c r="V338" s="169"/>
      <c r="W338" s="169"/>
      <c r="X338" s="169"/>
      <c r="Y338" s="169"/>
      <c r="Z338" s="169"/>
      <c r="AA338" s="169"/>
      <c r="AB338" s="169"/>
      <c r="AC338" s="169"/>
      <c r="AD338" s="169"/>
      <c r="AE338" s="169"/>
      <c r="AF338" s="169"/>
      <c r="AG338" s="169"/>
      <c r="AH338" s="169"/>
    </row>
    <row r="339" ht="15.75" customHeight="1">
      <c r="A339" s="169"/>
      <c r="B339" s="38" t="s">
        <v>2119</v>
      </c>
      <c r="C339" s="191" t="s">
        <v>3734</v>
      </c>
      <c r="D339" s="39" t="s">
        <v>3735</v>
      </c>
      <c r="E339" s="40"/>
      <c r="F339" s="40"/>
      <c r="G339" s="39"/>
      <c r="H339" s="42" t="s">
        <v>3736</v>
      </c>
      <c r="I339" s="188">
        <v>44585.0</v>
      </c>
      <c r="J339" s="188">
        <v>44650.0</v>
      </c>
      <c r="K339" s="189">
        <v>1220.0</v>
      </c>
      <c r="L339" s="19"/>
      <c r="M339" s="192" t="s">
        <v>2893</v>
      </c>
      <c r="N339" s="193"/>
      <c r="O339" s="169"/>
      <c r="P339" s="169"/>
      <c r="Q339" s="169"/>
      <c r="R339" s="169"/>
      <c r="S339" s="169"/>
      <c r="T339" s="169"/>
      <c r="U339" s="169"/>
      <c r="V339" s="169"/>
      <c r="W339" s="169"/>
      <c r="X339" s="169"/>
      <c r="Y339" s="169"/>
      <c r="Z339" s="169"/>
      <c r="AA339" s="169"/>
      <c r="AB339" s="169"/>
      <c r="AC339" s="169"/>
      <c r="AD339" s="169"/>
      <c r="AE339" s="169"/>
      <c r="AF339" s="169"/>
      <c r="AG339" s="169"/>
      <c r="AH339" s="169"/>
    </row>
    <row r="340" ht="15.75" customHeight="1">
      <c r="A340" s="169"/>
      <c r="B340" s="38" t="s">
        <v>2119</v>
      </c>
      <c r="C340" s="191" t="s">
        <v>3737</v>
      </c>
      <c r="D340" s="39" t="s">
        <v>3738</v>
      </c>
      <c r="E340" s="40"/>
      <c r="F340" s="40"/>
      <c r="G340" s="39"/>
      <c r="H340" s="42" t="s">
        <v>3739</v>
      </c>
      <c r="I340" s="188">
        <v>44585.0</v>
      </c>
      <c r="J340" s="188">
        <v>44650.0</v>
      </c>
      <c r="K340" s="189">
        <v>1880.0</v>
      </c>
      <c r="L340" s="19"/>
      <c r="M340" s="192" t="s">
        <v>2893</v>
      </c>
      <c r="N340" s="193"/>
      <c r="O340" s="169"/>
      <c r="P340" s="169"/>
      <c r="Q340" s="169"/>
      <c r="R340" s="169"/>
      <c r="S340" s="169"/>
      <c r="T340" s="169"/>
      <c r="U340" s="169"/>
      <c r="V340" s="169"/>
      <c r="W340" s="169"/>
      <c r="X340" s="169"/>
      <c r="Y340" s="169"/>
      <c r="Z340" s="169"/>
      <c r="AA340" s="169"/>
      <c r="AB340" s="169"/>
      <c r="AC340" s="169"/>
      <c r="AD340" s="169"/>
      <c r="AE340" s="169"/>
      <c r="AF340" s="169"/>
      <c r="AG340" s="169"/>
      <c r="AH340" s="169"/>
    </row>
    <row r="341" ht="15.75" customHeight="1">
      <c r="A341" s="169"/>
      <c r="B341" s="38" t="s">
        <v>2311</v>
      </c>
      <c r="C341" s="191" t="s">
        <v>3740</v>
      </c>
      <c r="D341" s="39" t="s">
        <v>3741</v>
      </c>
      <c r="E341" s="39"/>
      <c r="F341" s="39"/>
      <c r="G341" s="39"/>
      <c r="H341" s="42" t="s">
        <v>3742</v>
      </c>
      <c r="I341" s="188">
        <v>44677.0</v>
      </c>
      <c r="J341" s="188">
        <v>44742.0</v>
      </c>
      <c r="K341" s="189">
        <v>1768.0</v>
      </c>
      <c r="L341" s="19"/>
      <c r="M341" s="192" t="s">
        <v>2893</v>
      </c>
      <c r="N341" s="42"/>
      <c r="O341" s="169"/>
      <c r="P341" s="169"/>
      <c r="Q341" s="169"/>
      <c r="R341" s="169"/>
      <c r="S341" s="169"/>
      <c r="T341" s="169"/>
      <c r="U341" s="169"/>
      <c r="V341" s="169"/>
      <c r="W341" s="169"/>
      <c r="X341" s="169"/>
      <c r="Y341" s="169"/>
      <c r="Z341" s="169"/>
      <c r="AA341" s="169"/>
      <c r="AB341" s="169"/>
      <c r="AC341" s="169"/>
      <c r="AD341" s="169"/>
      <c r="AE341" s="169"/>
      <c r="AF341" s="169"/>
      <c r="AG341" s="169"/>
      <c r="AH341" s="169"/>
    </row>
    <row r="342" ht="15.75" customHeight="1">
      <c r="A342" s="169"/>
      <c r="B342" s="38" t="s">
        <v>118</v>
      </c>
      <c r="C342" s="191" t="s">
        <v>3743</v>
      </c>
      <c r="D342" s="39" t="s">
        <v>3744</v>
      </c>
      <c r="E342" s="39" t="s">
        <v>3745</v>
      </c>
      <c r="F342" s="39" t="s">
        <v>623</v>
      </c>
      <c r="G342" s="39" t="s">
        <v>18</v>
      </c>
      <c r="H342" s="42" t="s">
        <v>3746</v>
      </c>
      <c r="I342" s="188">
        <v>44590.0</v>
      </c>
      <c r="J342" s="188">
        <v>44655.0</v>
      </c>
      <c r="K342" s="189">
        <v>10910.0</v>
      </c>
      <c r="L342" s="19"/>
      <c r="M342" s="192" t="s">
        <v>910</v>
      </c>
      <c r="N342" s="119" t="s">
        <v>912</v>
      </c>
      <c r="O342" s="169"/>
      <c r="P342" s="169"/>
      <c r="Q342" s="169"/>
      <c r="R342" s="169"/>
      <c r="S342" s="169"/>
      <c r="T342" s="169"/>
      <c r="U342" s="169"/>
      <c r="V342" s="169"/>
      <c r="W342" s="169"/>
      <c r="X342" s="169"/>
      <c r="Y342" s="169"/>
      <c r="Z342" s="169"/>
      <c r="AA342" s="169"/>
      <c r="AB342" s="169"/>
      <c r="AC342" s="169"/>
      <c r="AD342" s="169"/>
      <c r="AE342" s="169"/>
      <c r="AF342" s="169"/>
      <c r="AG342" s="169"/>
      <c r="AH342" s="169"/>
    </row>
    <row r="343" ht="15.75" customHeight="1">
      <c r="A343" s="169"/>
      <c r="B343" s="38" t="s">
        <v>118</v>
      </c>
      <c r="C343" s="191" t="s">
        <v>3747</v>
      </c>
      <c r="D343" s="40" t="s">
        <v>875</v>
      </c>
      <c r="E343" s="40" t="s">
        <v>3745</v>
      </c>
      <c r="F343" s="40" t="s">
        <v>623</v>
      </c>
      <c r="G343" s="39" t="s">
        <v>876</v>
      </c>
      <c r="H343" s="42" t="s">
        <v>3748</v>
      </c>
      <c r="I343" s="188">
        <v>44742.0</v>
      </c>
      <c r="J343" s="188">
        <v>44742.0</v>
      </c>
      <c r="K343" s="189">
        <v>3998.0</v>
      </c>
      <c r="L343" s="19"/>
      <c r="M343" s="192" t="s">
        <v>874</v>
      </c>
      <c r="N343" s="119" t="s">
        <v>877</v>
      </c>
      <c r="O343" s="169"/>
      <c r="P343" s="169"/>
      <c r="Q343" s="169"/>
      <c r="R343" s="169"/>
      <c r="S343" s="169"/>
      <c r="T343" s="169"/>
      <c r="U343" s="169"/>
      <c r="V343" s="169"/>
      <c r="W343" s="169"/>
      <c r="X343" s="169"/>
      <c r="Y343" s="169"/>
      <c r="Z343" s="169"/>
      <c r="AA343" s="169"/>
      <c r="AB343" s="169"/>
      <c r="AC343" s="169"/>
      <c r="AD343" s="169"/>
      <c r="AE343" s="169"/>
      <c r="AF343" s="169"/>
      <c r="AG343" s="169"/>
      <c r="AH343" s="169"/>
    </row>
    <row r="344" ht="15.75" customHeight="1">
      <c r="A344" s="169"/>
      <c r="B344" s="38" t="s">
        <v>118</v>
      </c>
      <c r="C344" s="191" t="s">
        <v>3749</v>
      </c>
      <c r="D344" s="39" t="s">
        <v>3750</v>
      </c>
      <c r="E344" s="39" t="s">
        <v>3745</v>
      </c>
      <c r="F344" s="39" t="s">
        <v>414</v>
      </c>
      <c r="G344" s="39" t="s">
        <v>18</v>
      </c>
      <c r="H344" s="42" t="s">
        <v>3751</v>
      </c>
      <c r="I344" s="188">
        <v>44527.0</v>
      </c>
      <c r="J344" s="188">
        <v>44592.0</v>
      </c>
      <c r="K344" s="189">
        <v>1000.0</v>
      </c>
      <c r="L344" s="19"/>
      <c r="M344" s="192" t="s">
        <v>527</v>
      </c>
      <c r="N344" s="119" t="s">
        <v>530</v>
      </c>
      <c r="O344" s="169"/>
      <c r="P344" s="169"/>
      <c r="Q344" s="169"/>
      <c r="R344" s="169"/>
      <c r="S344" s="169"/>
      <c r="T344" s="169"/>
      <c r="U344" s="169"/>
      <c r="V344" s="169"/>
      <c r="W344" s="169"/>
      <c r="X344" s="169"/>
      <c r="Y344" s="169"/>
      <c r="Z344" s="169"/>
      <c r="AA344" s="169"/>
      <c r="AB344" s="169"/>
      <c r="AC344" s="169"/>
      <c r="AD344" s="169"/>
      <c r="AE344" s="169"/>
      <c r="AF344" s="169"/>
      <c r="AG344" s="169"/>
      <c r="AH344" s="169"/>
    </row>
    <row r="345" ht="15.75" customHeight="1">
      <c r="A345" s="169"/>
      <c r="B345" s="38" t="s">
        <v>118</v>
      </c>
      <c r="C345" s="191" t="s">
        <v>3752</v>
      </c>
      <c r="D345" s="39" t="s">
        <v>3753</v>
      </c>
      <c r="E345" s="39" t="s">
        <v>3745</v>
      </c>
      <c r="F345" s="39" t="s">
        <v>17</v>
      </c>
      <c r="G345" s="39" t="s">
        <v>529</v>
      </c>
      <c r="H345" s="42" t="s">
        <v>3754</v>
      </c>
      <c r="I345" s="188">
        <v>44738.0</v>
      </c>
      <c r="J345" s="188">
        <v>44803.0</v>
      </c>
      <c r="K345" s="189">
        <v>1455.0</v>
      </c>
      <c r="L345" s="19"/>
      <c r="M345" s="192" t="s">
        <v>616</v>
      </c>
      <c r="N345" s="119" t="s">
        <v>619</v>
      </c>
      <c r="O345" s="169"/>
      <c r="P345" s="169"/>
      <c r="Q345" s="169"/>
      <c r="R345" s="169"/>
      <c r="S345" s="169"/>
      <c r="T345" s="169"/>
      <c r="U345" s="169"/>
      <c r="V345" s="169"/>
      <c r="W345" s="169"/>
      <c r="X345" s="169"/>
      <c r="Y345" s="169"/>
      <c r="Z345" s="169"/>
      <c r="AA345" s="169"/>
      <c r="AB345" s="169"/>
      <c r="AC345" s="169"/>
      <c r="AD345" s="169"/>
      <c r="AE345" s="169"/>
      <c r="AF345" s="169"/>
      <c r="AG345" s="169"/>
      <c r="AH345" s="169"/>
    </row>
    <row r="346" ht="15.75" customHeight="1">
      <c r="A346" s="169"/>
      <c r="B346" s="38" t="s">
        <v>2913</v>
      </c>
      <c r="C346" s="191" t="s">
        <v>3755</v>
      </c>
      <c r="D346" s="42" t="s">
        <v>3756</v>
      </c>
      <c r="E346" s="40"/>
      <c r="F346" s="40"/>
      <c r="G346" s="39"/>
      <c r="H346" s="42" t="s">
        <v>3756</v>
      </c>
      <c r="I346" s="188">
        <v>44095.0</v>
      </c>
      <c r="J346" s="188">
        <v>44160.0</v>
      </c>
      <c r="K346" s="189">
        <v>52.0</v>
      </c>
      <c r="L346" s="19"/>
      <c r="M346" s="192" t="s">
        <v>2893</v>
      </c>
      <c r="N346" s="193"/>
      <c r="O346" s="169"/>
      <c r="P346" s="169"/>
      <c r="Q346" s="169"/>
      <c r="R346" s="169"/>
      <c r="S346" s="169"/>
      <c r="T346" s="169"/>
      <c r="U346" s="169"/>
      <c r="V346" s="169"/>
      <c r="W346" s="169"/>
      <c r="X346" s="169"/>
      <c r="Y346" s="169"/>
      <c r="Z346" s="169"/>
      <c r="AA346" s="169"/>
      <c r="AB346" s="169"/>
      <c r="AC346" s="169"/>
      <c r="AD346" s="169"/>
      <c r="AE346" s="169"/>
      <c r="AF346" s="169"/>
      <c r="AG346" s="169"/>
      <c r="AH346" s="169"/>
    </row>
    <row r="347" ht="15.75" customHeight="1">
      <c r="A347" s="169"/>
      <c r="B347" s="38" t="s">
        <v>1031</v>
      </c>
      <c r="C347" s="191" t="s">
        <v>3757</v>
      </c>
      <c r="D347" s="40" t="s">
        <v>3758</v>
      </c>
      <c r="E347" s="40" t="s">
        <v>3745</v>
      </c>
      <c r="F347" s="40" t="s">
        <v>1051</v>
      </c>
      <c r="G347" s="39" t="s">
        <v>1035</v>
      </c>
      <c r="H347" s="48" t="s">
        <v>3759</v>
      </c>
      <c r="I347" s="188">
        <v>44742.0</v>
      </c>
      <c r="J347" s="188">
        <v>45962.0</v>
      </c>
      <c r="K347" s="189">
        <v>4391.0</v>
      </c>
      <c r="L347" s="19"/>
      <c r="M347" s="192" t="s">
        <v>2893</v>
      </c>
      <c r="N347" s="42"/>
      <c r="O347" s="169"/>
      <c r="P347" s="169"/>
      <c r="Q347" s="169"/>
      <c r="R347" s="169"/>
      <c r="S347" s="169"/>
      <c r="T347" s="169"/>
      <c r="U347" s="169"/>
      <c r="V347" s="169"/>
      <c r="W347" s="169"/>
      <c r="X347" s="169"/>
      <c r="Y347" s="169"/>
      <c r="Z347" s="169"/>
      <c r="AA347" s="169"/>
      <c r="AB347" s="169"/>
      <c r="AC347" s="169"/>
      <c r="AD347" s="169"/>
      <c r="AE347" s="169"/>
      <c r="AF347" s="169"/>
      <c r="AG347" s="169"/>
      <c r="AH347" s="169"/>
    </row>
    <row r="348" ht="15.75" customHeight="1">
      <c r="A348" s="169"/>
      <c r="B348" s="38" t="s">
        <v>1031</v>
      </c>
      <c r="C348" s="191" t="s">
        <v>3760</v>
      </c>
      <c r="D348" s="40" t="s">
        <v>3758</v>
      </c>
      <c r="E348" s="40" t="s">
        <v>3745</v>
      </c>
      <c r="F348" s="40" t="s">
        <v>1051</v>
      </c>
      <c r="G348" s="39" t="s">
        <v>1035</v>
      </c>
      <c r="H348" s="48" t="s">
        <v>3759</v>
      </c>
      <c r="I348" s="188">
        <v>44773.0</v>
      </c>
      <c r="J348" s="188">
        <v>44957.0</v>
      </c>
      <c r="K348" s="189">
        <v>3082.0</v>
      </c>
      <c r="L348" s="19"/>
      <c r="M348" s="192" t="s">
        <v>2893</v>
      </c>
      <c r="N348" s="42"/>
      <c r="O348" s="169"/>
      <c r="P348" s="169"/>
      <c r="Q348" s="169"/>
      <c r="R348" s="169"/>
      <c r="S348" s="169"/>
      <c r="T348" s="169"/>
      <c r="U348" s="169"/>
      <c r="V348" s="169"/>
      <c r="W348" s="169"/>
      <c r="X348" s="169"/>
      <c r="Y348" s="169"/>
      <c r="Z348" s="169"/>
      <c r="AA348" s="169"/>
      <c r="AB348" s="169"/>
      <c r="AC348" s="169"/>
      <c r="AD348" s="169"/>
      <c r="AE348" s="169"/>
      <c r="AF348" s="169"/>
      <c r="AG348" s="169"/>
      <c r="AH348" s="169"/>
    </row>
    <row r="349" ht="15.75" customHeight="1">
      <c r="A349" s="169"/>
      <c r="B349" s="38" t="s">
        <v>118</v>
      </c>
      <c r="C349" s="191" t="s">
        <v>3761</v>
      </c>
      <c r="D349" s="40" t="s">
        <v>3744</v>
      </c>
      <c r="E349" s="40" t="s">
        <v>16</v>
      </c>
      <c r="F349" s="40" t="s">
        <v>623</v>
      </c>
      <c r="G349" s="39" t="s">
        <v>18</v>
      </c>
      <c r="H349" s="48" t="s">
        <v>3746</v>
      </c>
      <c r="I349" s="188">
        <v>44773.0</v>
      </c>
      <c r="J349" s="188">
        <v>45382.0</v>
      </c>
      <c r="K349" s="189">
        <v>9996.0</v>
      </c>
      <c r="L349" s="19"/>
      <c r="M349" s="192" t="s">
        <v>910</v>
      </c>
      <c r="N349" s="119" t="s">
        <v>912</v>
      </c>
      <c r="O349" s="169"/>
      <c r="P349" s="169"/>
      <c r="Q349" s="169"/>
      <c r="R349" s="169"/>
      <c r="S349" s="169"/>
      <c r="T349" s="169"/>
      <c r="U349" s="169"/>
      <c r="V349" s="169"/>
      <c r="W349" s="169"/>
      <c r="X349" s="169"/>
      <c r="Y349" s="169"/>
      <c r="Z349" s="169"/>
      <c r="AA349" s="169"/>
      <c r="AB349" s="169"/>
      <c r="AC349" s="169"/>
      <c r="AD349" s="169"/>
      <c r="AE349" s="169"/>
      <c r="AF349" s="169"/>
      <c r="AG349" s="169"/>
      <c r="AH349" s="169"/>
    </row>
    <row r="350" ht="15.75" customHeight="1">
      <c r="A350" s="169"/>
      <c r="B350" s="38" t="s">
        <v>2913</v>
      </c>
      <c r="C350" s="191" t="s">
        <v>3762</v>
      </c>
      <c r="D350" s="40" t="s">
        <v>3763</v>
      </c>
      <c r="E350" s="40"/>
      <c r="F350" s="40"/>
      <c r="G350" s="39"/>
      <c r="H350" s="42" t="s">
        <v>3763</v>
      </c>
      <c r="I350" s="188">
        <v>44095.0</v>
      </c>
      <c r="J350" s="188">
        <v>44160.0</v>
      </c>
      <c r="K350" s="189">
        <v>616.0</v>
      </c>
      <c r="L350" s="19"/>
      <c r="M350" s="192" t="s">
        <v>2893</v>
      </c>
      <c r="N350" s="193"/>
      <c r="O350" s="169"/>
      <c r="P350" s="169"/>
      <c r="Q350" s="169"/>
      <c r="R350" s="169"/>
      <c r="S350" s="169"/>
      <c r="T350" s="169"/>
      <c r="U350" s="169"/>
      <c r="V350" s="169"/>
      <c r="W350" s="169"/>
      <c r="X350" s="169"/>
      <c r="Y350" s="169"/>
      <c r="Z350" s="169"/>
      <c r="AA350" s="169"/>
      <c r="AB350" s="169"/>
      <c r="AC350" s="169"/>
      <c r="AD350" s="169"/>
      <c r="AE350" s="169"/>
      <c r="AF350" s="169"/>
      <c r="AG350" s="169"/>
      <c r="AH350" s="169"/>
    </row>
    <row r="351" ht="15.75" customHeight="1">
      <c r="A351" s="169"/>
      <c r="B351" s="38" t="s">
        <v>2913</v>
      </c>
      <c r="C351" s="191" t="s">
        <v>3764</v>
      </c>
      <c r="D351" s="40" t="s">
        <v>3765</v>
      </c>
      <c r="E351" s="40"/>
      <c r="F351" s="40"/>
      <c r="G351" s="39"/>
      <c r="H351" s="42" t="s">
        <v>3765</v>
      </c>
      <c r="I351" s="188">
        <v>44095.0</v>
      </c>
      <c r="J351" s="188">
        <v>44160.0</v>
      </c>
      <c r="K351" s="189">
        <v>296.0</v>
      </c>
      <c r="L351" s="19"/>
      <c r="M351" s="192" t="s">
        <v>2893</v>
      </c>
      <c r="N351" s="193"/>
      <c r="O351" s="169"/>
      <c r="P351" s="169"/>
      <c r="Q351" s="169"/>
      <c r="R351" s="169"/>
      <c r="S351" s="169"/>
      <c r="T351" s="169"/>
      <c r="U351" s="169"/>
      <c r="V351" s="169"/>
      <c r="W351" s="169"/>
      <c r="X351" s="169"/>
      <c r="Y351" s="169"/>
      <c r="Z351" s="169"/>
      <c r="AA351" s="169"/>
      <c r="AB351" s="169"/>
      <c r="AC351" s="169"/>
      <c r="AD351" s="169"/>
      <c r="AE351" s="169"/>
      <c r="AF351" s="169"/>
      <c r="AG351" s="169"/>
      <c r="AH351" s="169"/>
    </row>
    <row r="352" ht="15.75" customHeight="1">
      <c r="A352" s="169"/>
      <c r="B352" s="38" t="s">
        <v>2913</v>
      </c>
      <c r="C352" s="191" t="s">
        <v>3766</v>
      </c>
      <c r="D352" s="40" t="s">
        <v>3767</v>
      </c>
      <c r="E352" s="40"/>
      <c r="F352" s="40"/>
      <c r="G352" s="39"/>
      <c r="H352" s="42" t="s">
        <v>3767</v>
      </c>
      <c r="I352" s="188">
        <v>44095.0</v>
      </c>
      <c r="J352" s="188">
        <v>44160.0</v>
      </c>
      <c r="K352" s="189">
        <v>66.0</v>
      </c>
      <c r="L352" s="19"/>
      <c r="M352" s="192" t="s">
        <v>2893</v>
      </c>
      <c r="N352" s="193"/>
      <c r="O352" s="169"/>
      <c r="P352" s="169"/>
      <c r="Q352" s="169"/>
      <c r="R352" s="169"/>
      <c r="S352" s="169"/>
      <c r="T352" s="169"/>
      <c r="U352" s="169"/>
      <c r="V352" s="169"/>
      <c r="W352" s="169"/>
      <c r="X352" s="169"/>
      <c r="Y352" s="169"/>
      <c r="Z352" s="169"/>
      <c r="AA352" s="169"/>
      <c r="AB352" s="169"/>
      <c r="AC352" s="169"/>
      <c r="AD352" s="169"/>
      <c r="AE352" s="169"/>
      <c r="AF352" s="169"/>
      <c r="AG352" s="169"/>
      <c r="AH352" s="169"/>
    </row>
    <row r="353" ht="15.75" customHeight="1">
      <c r="A353" s="169"/>
      <c r="B353" s="38" t="s">
        <v>2913</v>
      </c>
      <c r="C353" s="191" t="s">
        <v>3768</v>
      </c>
      <c r="D353" s="40" t="s">
        <v>3769</v>
      </c>
      <c r="E353" s="40"/>
      <c r="F353" s="40"/>
      <c r="G353" s="39"/>
      <c r="H353" s="42" t="s">
        <v>3769</v>
      </c>
      <c r="I353" s="188">
        <v>44095.0</v>
      </c>
      <c r="J353" s="188">
        <v>44160.0</v>
      </c>
      <c r="K353" s="189">
        <v>1166.0</v>
      </c>
      <c r="L353" s="19"/>
      <c r="M353" s="192" t="s">
        <v>2893</v>
      </c>
      <c r="N353" s="193"/>
      <c r="O353" s="169"/>
      <c r="P353" s="169"/>
      <c r="Q353" s="169"/>
      <c r="R353" s="169"/>
      <c r="S353" s="169"/>
      <c r="T353" s="169"/>
      <c r="U353" s="169"/>
      <c r="V353" s="169"/>
      <c r="W353" s="169"/>
      <c r="X353" s="169"/>
      <c r="Y353" s="169"/>
      <c r="Z353" s="169"/>
      <c r="AA353" s="169"/>
      <c r="AB353" s="169"/>
      <c r="AC353" s="169"/>
      <c r="AD353" s="169"/>
      <c r="AE353" s="169"/>
      <c r="AF353" s="169"/>
      <c r="AG353" s="169"/>
      <c r="AH353" s="169"/>
    </row>
    <row r="354" ht="15.75" customHeight="1">
      <c r="A354" s="169"/>
      <c r="B354" s="38" t="s">
        <v>3699</v>
      </c>
      <c r="C354" s="191" t="s">
        <v>3770</v>
      </c>
      <c r="D354" s="40"/>
      <c r="E354" s="40"/>
      <c r="F354" s="40"/>
      <c r="G354" s="39"/>
      <c r="H354" s="42" t="s">
        <v>3771</v>
      </c>
      <c r="I354" s="188">
        <v>44250.0</v>
      </c>
      <c r="J354" s="188">
        <v>44315.0</v>
      </c>
      <c r="K354" s="189">
        <v>12387.0</v>
      </c>
      <c r="L354" s="19"/>
      <c r="M354" s="192" t="s">
        <v>2893</v>
      </c>
      <c r="N354" s="193"/>
      <c r="O354" s="169"/>
      <c r="P354" s="169"/>
      <c r="Q354" s="169"/>
      <c r="R354" s="169"/>
      <c r="S354" s="169"/>
      <c r="T354" s="169"/>
      <c r="U354" s="169"/>
      <c r="V354" s="169"/>
      <c r="W354" s="169"/>
      <c r="X354" s="169"/>
      <c r="Y354" s="169"/>
      <c r="Z354" s="169"/>
      <c r="AA354" s="169"/>
      <c r="AB354" s="169"/>
      <c r="AC354" s="169"/>
      <c r="AD354" s="169"/>
      <c r="AE354" s="169"/>
      <c r="AF354" s="169"/>
      <c r="AG354" s="169"/>
      <c r="AH354" s="169"/>
    </row>
    <row r="355" ht="15.75" customHeight="1">
      <c r="A355" s="169"/>
      <c r="B355" s="38" t="s">
        <v>3699</v>
      </c>
      <c r="C355" s="191" t="s">
        <v>3772</v>
      </c>
      <c r="D355" s="40"/>
      <c r="E355" s="40"/>
      <c r="F355" s="40"/>
      <c r="G355" s="39"/>
      <c r="H355" s="42" t="s">
        <v>3773</v>
      </c>
      <c r="I355" s="188">
        <v>44250.0</v>
      </c>
      <c r="J355" s="188">
        <v>44315.0</v>
      </c>
      <c r="K355" s="189">
        <v>13778.0</v>
      </c>
      <c r="L355" s="19"/>
      <c r="M355" s="192" t="s">
        <v>2893</v>
      </c>
      <c r="N355" s="193"/>
      <c r="O355" s="169"/>
      <c r="P355" s="169"/>
      <c r="Q355" s="169"/>
      <c r="R355" s="169"/>
      <c r="S355" s="169"/>
      <c r="T355" s="169"/>
      <c r="U355" s="169"/>
      <c r="V355" s="169"/>
      <c r="W355" s="169"/>
      <c r="X355" s="169"/>
      <c r="Y355" s="169"/>
      <c r="Z355" s="169"/>
      <c r="AA355" s="169"/>
      <c r="AB355" s="169"/>
      <c r="AC355" s="169"/>
      <c r="AD355" s="169"/>
      <c r="AE355" s="169"/>
      <c r="AF355" s="169"/>
      <c r="AG355" s="169"/>
      <c r="AH355" s="169"/>
    </row>
    <row r="356" ht="15.75" customHeight="1">
      <c r="A356" s="169"/>
      <c r="B356" s="38" t="s">
        <v>3699</v>
      </c>
      <c r="C356" s="186" t="s">
        <v>3774</v>
      </c>
      <c r="D356" s="40"/>
      <c r="E356" s="40"/>
      <c r="F356" s="40"/>
      <c r="G356" s="39"/>
      <c r="H356" s="42" t="s">
        <v>3775</v>
      </c>
      <c r="I356" s="188">
        <v>44250.0</v>
      </c>
      <c r="J356" s="188">
        <v>44315.0</v>
      </c>
      <c r="K356" s="189">
        <v>6823.0</v>
      </c>
      <c r="L356" s="19"/>
      <c r="M356" s="192" t="s">
        <v>2893</v>
      </c>
      <c r="N356" s="193"/>
      <c r="O356" s="169"/>
      <c r="P356" s="169"/>
      <c r="Q356" s="169"/>
      <c r="R356" s="169"/>
      <c r="S356" s="169"/>
      <c r="T356" s="169"/>
      <c r="U356" s="169"/>
      <c r="V356" s="169"/>
      <c r="W356" s="169"/>
      <c r="X356" s="169"/>
      <c r="Y356" s="169"/>
      <c r="Z356" s="169"/>
      <c r="AA356" s="169"/>
      <c r="AB356" s="169"/>
      <c r="AC356" s="169"/>
      <c r="AD356" s="169"/>
      <c r="AE356" s="169"/>
      <c r="AF356" s="169"/>
      <c r="AG356" s="169"/>
      <c r="AH356" s="169"/>
    </row>
    <row r="357" ht="15.75" customHeight="1">
      <c r="A357" s="169"/>
      <c r="B357" s="38" t="s">
        <v>3699</v>
      </c>
      <c r="C357" s="191" t="s">
        <v>3776</v>
      </c>
      <c r="D357" s="40"/>
      <c r="E357" s="40"/>
      <c r="F357" s="40"/>
      <c r="G357" s="39"/>
      <c r="H357" s="42" t="s">
        <v>3777</v>
      </c>
      <c r="I357" s="188">
        <v>44250.0</v>
      </c>
      <c r="J357" s="188">
        <v>44315.0</v>
      </c>
      <c r="K357" s="189">
        <v>18423.0</v>
      </c>
      <c r="L357" s="19"/>
      <c r="M357" s="192" t="s">
        <v>2893</v>
      </c>
      <c r="N357" s="193"/>
      <c r="O357" s="169"/>
      <c r="P357" s="169"/>
      <c r="Q357" s="169"/>
      <c r="R357" s="169"/>
      <c r="S357" s="169"/>
      <c r="T357" s="169"/>
      <c r="U357" s="169"/>
      <c r="V357" s="169"/>
      <c r="W357" s="169"/>
      <c r="X357" s="169"/>
      <c r="Y357" s="169"/>
      <c r="Z357" s="169"/>
      <c r="AA357" s="169"/>
      <c r="AB357" s="169"/>
      <c r="AC357" s="169"/>
      <c r="AD357" s="169"/>
      <c r="AE357" s="169"/>
      <c r="AF357" s="169"/>
      <c r="AG357" s="169"/>
      <c r="AH357" s="169"/>
    </row>
    <row r="358" ht="15.75" customHeight="1">
      <c r="A358" s="169"/>
      <c r="B358" s="38" t="s">
        <v>3699</v>
      </c>
      <c r="C358" s="191" t="s">
        <v>3778</v>
      </c>
      <c r="D358" s="40"/>
      <c r="E358" s="40"/>
      <c r="F358" s="40"/>
      <c r="G358" s="39"/>
      <c r="H358" s="42" t="s">
        <v>3779</v>
      </c>
      <c r="I358" s="188">
        <v>44250.0</v>
      </c>
      <c r="J358" s="188">
        <v>44315.0</v>
      </c>
      <c r="K358" s="189">
        <v>19331.0</v>
      </c>
      <c r="L358" s="19"/>
      <c r="M358" s="192" t="s">
        <v>2893</v>
      </c>
      <c r="N358" s="193"/>
      <c r="O358" s="169"/>
      <c r="P358" s="169"/>
      <c r="Q358" s="169"/>
      <c r="R358" s="169"/>
      <c r="S358" s="169"/>
      <c r="T358" s="169"/>
      <c r="U358" s="169"/>
      <c r="V358" s="169"/>
      <c r="W358" s="169"/>
      <c r="X358" s="169"/>
      <c r="Y358" s="169"/>
      <c r="Z358" s="169"/>
      <c r="AA358" s="169"/>
      <c r="AB358" s="169"/>
      <c r="AC358" s="169"/>
      <c r="AD358" s="169"/>
      <c r="AE358" s="169"/>
      <c r="AF358" s="169"/>
      <c r="AG358" s="169"/>
      <c r="AH358" s="169"/>
    </row>
    <row r="359" ht="15.75" customHeight="1">
      <c r="A359" s="169"/>
      <c r="B359" s="38" t="s">
        <v>3699</v>
      </c>
      <c r="C359" s="191" t="s">
        <v>3780</v>
      </c>
      <c r="D359" s="40"/>
      <c r="E359" s="40"/>
      <c r="F359" s="40"/>
      <c r="G359" s="39"/>
      <c r="H359" s="42" t="s">
        <v>3781</v>
      </c>
      <c r="I359" s="188">
        <v>44250.0</v>
      </c>
      <c r="J359" s="188">
        <v>44315.0</v>
      </c>
      <c r="K359" s="189">
        <v>21145.0</v>
      </c>
      <c r="L359" s="19"/>
      <c r="M359" s="192" t="s">
        <v>2893</v>
      </c>
      <c r="N359" s="193"/>
      <c r="O359" s="169"/>
      <c r="P359" s="169"/>
      <c r="Q359" s="169"/>
      <c r="R359" s="169"/>
      <c r="S359" s="169"/>
      <c r="T359" s="169"/>
      <c r="U359" s="169"/>
      <c r="V359" s="169"/>
      <c r="W359" s="169"/>
      <c r="X359" s="169"/>
      <c r="Y359" s="169"/>
      <c r="Z359" s="169"/>
      <c r="AA359" s="169"/>
      <c r="AB359" s="169"/>
      <c r="AC359" s="169"/>
      <c r="AD359" s="169"/>
      <c r="AE359" s="169"/>
      <c r="AF359" s="169"/>
      <c r="AG359" s="169"/>
      <c r="AH359" s="169"/>
    </row>
    <row r="360" ht="15.75" customHeight="1">
      <c r="A360" s="169"/>
      <c r="B360" s="38" t="s">
        <v>3699</v>
      </c>
      <c r="C360" s="191" t="s">
        <v>3782</v>
      </c>
      <c r="D360" s="40"/>
      <c r="E360" s="40"/>
      <c r="F360" s="40"/>
      <c r="G360" s="39"/>
      <c r="H360" s="42" t="s">
        <v>3783</v>
      </c>
      <c r="I360" s="188">
        <v>44250.0</v>
      </c>
      <c r="J360" s="188">
        <v>44315.0</v>
      </c>
      <c r="K360" s="189">
        <v>1273.0</v>
      </c>
      <c r="L360" s="19"/>
      <c r="M360" s="192" t="s">
        <v>2893</v>
      </c>
      <c r="N360" s="193"/>
      <c r="O360" s="169"/>
      <c r="P360" s="169"/>
      <c r="Q360" s="169"/>
      <c r="R360" s="169"/>
      <c r="S360" s="169"/>
      <c r="T360" s="169"/>
      <c r="U360" s="169"/>
      <c r="V360" s="169"/>
      <c r="W360" s="169"/>
      <c r="X360" s="169"/>
      <c r="Y360" s="169"/>
      <c r="Z360" s="169"/>
      <c r="AA360" s="169"/>
      <c r="AB360" s="169"/>
      <c r="AC360" s="169"/>
      <c r="AD360" s="169"/>
      <c r="AE360" s="169"/>
      <c r="AF360" s="169"/>
      <c r="AG360" s="169"/>
      <c r="AH360" s="169"/>
    </row>
    <row r="361" ht="15.75" customHeight="1">
      <c r="A361" s="169"/>
      <c r="B361" s="38" t="s">
        <v>3699</v>
      </c>
      <c r="C361" s="191" t="s">
        <v>3784</v>
      </c>
      <c r="D361" s="40"/>
      <c r="E361" s="40"/>
      <c r="F361" s="40"/>
      <c r="G361" s="39"/>
      <c r="H361" s="42" t="s">
        <v>3785</v>
      </c>
      <c r="I361" s="188">
        <v>44250.0</v>
      </c>
      <c r="J361" s="188">
        <v>44315.0</v>
      </c>
      <c r="K361" s="189">
        <v>1528.0</v>
      </c>
      <c r="L361" s="19"/>
      <c r="M361" s="192" t="s">
        <v>2893</v>
      </c>
      <c r="N361" s="193"/>
      <c r="O361" s="169"/>
      <c r="P361" s="169"/>
      <c r="Q361" s="169"/>
      <c r="R361" s="169"/>
      <c r="S361" s="169"/>
      <c r="T361" s="169"/>
      <c r="U361" s="169"/>
      <c r="V361" s="169"/>
      <c r="W361" s="169"/>
      <c r="X361" s="169"/>
      <c r="Y361" s="169"/>
      <c r="Z361" s="169"/>
      <c r="AA361" s="169"/>
      <c r="AB361" s="169"/>
      <c r="AC361" s="169"/>
      <c r="AD361" s="169"/>
      <c r="AE361" s="169"/>
      <c r="AF361" s="169"/>
      <c r="AG361" s="169"/>
      <c r="AH361" s="169"/>
    </row>
    <row r="362" ht="15.75" customHeight="1">
      <c r="A362" s="169"/>
      <c r="B362" s="38" t="s">
        <v>3699</v>
      </c>
      <c r="C362" s="191" t="s">
        <v>3786</v>
      </c>
      <c r="D362" s="40"/>
      <c r="E362" s="40"/>
      <c r="F362" s="40"/>
      <c r="G362" s="39"/>
      <c r="H362" s="42" t="s">
        <v>3787</v>
      </c>
      <c r="I362" s="188">
        <v>44250.0</v>
      </c>
      <c r="J362" s="188">
        <v>44315.0</v>
      </c>
      <c r="K362" s="189">
        <v>173.0</v>
      </c>
      <c r="L362" s="19"/>
      <c r="M362" s="192" t="s">
        <v>2893</v>
      </c>
      <c r="N362" s="193"/>
      <c r="O362" s="169"/>
      <c r="P362" s="169"/>
      <c r="Q362" s="169"/>
      <c r="R362" s="169"/>
      <c r="S362" s="169"/>
      <c r="T362" s="169"/>
      <c r="U362" s="169"/>
      <c r="V362" s="169"/>
      <c r="W362" s="169"/>
      <c r="X362" s="169"/>
      <c r="Y362" s="169"/>
      <c r="Z362" s="169"/>
      <c r="AA362" s="169"/>
      <c r="AB362" s="169"/>
      <c r="AC362" s="169"/>
      <c r="AD362" s="169"/>
      <c r="AE362" s="169"/>
      <c r="AF362" s="169"/>
      <c r="AG362" s="169"/>
      <c r="AH362" s="169"/>
    </row>
    <row r="363" ht="15.75" customHeight="1">
      <c r="A363" s="169"/>
      <c r="B363" s="38" t="s">
        <v>3699</v>
      </c>
      <c r="C363" s="191" t="s">
        <v>3788</v>
      </c>
      <c r="D363" s="40"/>
      <c r="E363" s="40"/>
      <c r="F363" s="40"/>
      <c r="G363" s="39"/>
      <c r="H363" s="42" t="s">
        <v>3789</v>
      </c>
      <c r="I363" s="188">
        <v>44250.0</v>
      </c>
      <c r="J363" s="188">
        <v>44315.0</v>
      </c>
      <c r="K363" s="189">
        <v>467.0</v>
      </c>
      <c r="L363" s="19"/>
      <c r="M363" s="192" t="s">
        <v>2893</v>
      </c>
      <c r="N363" s="193"/>
      <c r="O363" s="169"/>
      <c r="P363" s="169"/>
      <c r="Q363" s="169"/>
      <c r="R363" s="169"/>
      <c r="S363" s="169"/>
      <c r="T363" s="169"/>
      <c r="U363" s="169"/>
      <c r="V363" s="169"/>
      <c r="W363" s="169"/>
      <c r="X363" s="169"/>
      <c r="Y363" s="169"/>
      <c r="Z363" s="169"/>
      <c r="AA363" s="169"/>
      <c r="AB363" s="169"/>
      <c r="AC363" s="169"/>
      <c r="AD363" s="169"/>
      <c r="AE363" s="169"/>
      <c r="AF363" s="169"/>
      <c r="AG363" s="169"/>
      <c r="AH363" s="169"/>
    </row>
    <row r="364" ht="15.75" customHeight="1">
      <c r="A364" s="169"/>
      <c r="B364" s="38" t="s">
        <v>3699</v>
      </c>
      <c r="C364" s="191" t="s">
        <v>3790</v>
      </c>
      <c r="D364" s="40"/>
      <c r="E364" s="40"/>
      <c r="F364" s="40"/>
      <c r="G364" s="39"/>
      <c r="H364" s="42" t="s">
        <v>3791</v>
      </c>
      <c r="I364" s="188">
        <v>44250.0</v>
      </c>
      <c r="J364" s="188">
        <v>44315.0</v>
      </c>
      <c r="K364" s="189">
        <v>495.0</v>
      </c>
      <c r="L364" s="19"/>
      <c r="M364" s="192" t="s">
        <v>2893</v>
      </c>
      <c r="N364" s="193"/>
      <c r="O364" s="169"/>
      <c r="P364" s="169"/>
      <c r="Q364" s="169"/>
      <c r="R364" s="169"/>
      <c r="S364" s="169"/>
      <c r="T364" s="169"/>
      <c r="U364" s="169"/>
      <c r="V364" s="169"/>
      <c r="W364" s="169"/>
      <c r="X364" s="169"/>
      <c r="Y364" s="169"/>
      <c r="Z364" s="169"/>
      <c r="AA364" s="169"/>
      <c r="AB364" s="169"/>
      <c r="AC364" s="169"/>
      <c r="AD364" s="169"/>
      <c r="AE364" s="169"/>
      <c r="AF364" s="169"/>
      <c r="AG364" s="169"/>
      <c r="AH364" s="169"/>
    </row>
    <row r="365" ht="15.75" customHeight="1">
      <c r="A365" s="169"/>
      <c r="B365" s="38" t="s">
        <v>3699</v>
      </c>
      <c r="C365" s="191" t="s">
        <v>3792</v>
      </c>
      <c r="D365" s="40"/>
      <c r="E365" s="40"/>
      <c r="F365" s="40"/>
      <c r="G365" s="39"/>
      <c r="H365" s="42" t="s">
        <v>3793</v>
      </c>
      <c r="I365" s="188">
        <v>44250.0</v>
      </c>
      <c r="J365" s="188">
        <v>44315.0</v>
      </c>
      <c r="K365" s="189">
        <v>900.0</v>
      </c>
      <c r="L365" s="19"/>
      <c r="M365" s="192" t="s">
        <v>2893</v>
      </c>
      <c r="N365" s="193"/>
      <c r="O365" s="169"/>
      <c r="P365" s="169"/>
      <c r="Q365" s="169"/>
      <c r="R365" s="169"/>
      <c r="S365" s="169"/>
      <c r="T365" s="169"/>
      <c r="U365" s="169"/>
      <c r="V365" s="169"/>
      <c r="W365" s="169"/>
      <c r="X365" s="169"/>
      <c r="Y365" s="169"/>
      <c r="Z365" s="169"/>
      <c r="AA365" s="169"/>
      <c r="AB365" s="169"/>
      <c r="AC365" s="169"/>
      <c r="AD365" s="169"/>
      <c r="AE365" s="169"/>
      <c r="AF365" s="169"/>
      <c r="AG365" s="169"/>
      <c r="AH365" s="169"/>
    </row>
    <row r="366" ht="15.75" customHeight="1">
      <c r="A366" s="169"/>
      <c r="B366" s="38" t="s">
        <v>3699</v>
      </c>
      <c r="C366" s="191" t="s">
        <v>3794</v>
      </c>
      <c r="D366" s="40"/>
      <c r="E366" s="40"/>
      <c r="F366" s="40"/>
      <c r="G366" s="39"/>
      <c r="H366" s="42" t="s">
        <v>3795</v>
      </c>
      <c r="I366" s="188">
        <v>44250.0</v>
      </c>
      <c r="J366" s="188">
        <v>44315.0</v>
      </c>
      <c r="K366" s="189">
        <v>4773.0</v>
      </c>
      <c r="L366" s="19"/>
      <c r="M366" s="192" t="s">
        <v>2893</v>
      </c>
      <c r="N366" s="193"/>
      <c r="O366" s="169"/>
      <c r="P366" s="169"/>
      <c r="Q366" s="169"/>
      <c r="R366" s="169"/>
      <c r="S366" s="169"/>
      <c r="T366" s="169"/>
      <c r="U366" s="169"/>
      <c r="V366" s="169"/>
      <c r="W366" s="169"/>
      <c r="X366" s="169"/>
      <c r="Y366" s="169"/>
      <c r="Z366" s="169"/>
      <c r="AA366" s="169"/>
      <c r="AB366" s="169"/>
      <c r="AC366" s="169"/>
      <c r="AD366" s="169"/>
      <c r="AE366" s="169"/>
      <c r="AF366" s="169"/>
      <c r="AG366" s="169"/>
      <c r="AH366" s="169"/>
    </row>
    <row r="367" ht="15.75" customHeight="1">
      <c r="A367" s="169"/>
      <c r="B367" s="38" t="s">
        <v>3699</v>
      </c>
      <c r="C367" s="191" t="s">
        <v>3796</v>
      </c>
      <c r="D367" s="40"/>
      <c r="E367" s="40"/>
      <c r="F367" s="40"/>
      <c r="G367" s="39"/>
      <c r="H367" s="42" t="s">
        <v>3797</v>
      </c>
      <c r="I367" s="188">
        <v>44250.0</v>
      </c>
      <c r="J367" s="188">
        <v>44315.0</v>
      </c>
      <c r="K367" s="189">
        <v>4162.0</v>
      </c>
      <c r="L367" s="19"/>
      <c r="M367" s="192" t="s">
        <v>2893</v>
      </c>
      <c r="N367" s="193"/>
      <c r="O367" s="169"/>
      <c r="P367" s="169"/>
      <c r="Q367" s="169"/>
      <c r="R367" s="169"/>
      <c r="S367" s="169"/>
      <c r="T367" s="169"/>
      <c r="U367" s="169"/>
      <c r="V367" s="169"/>
      <c r="W367" s="169"/>
      <c r="X367" s="169"/>
      <c r="Y367" s="169"/>
      <c r="Z367" s="169"/>
      <c r="AA367" s="169"/>
      <c r="AB367" s="169"/>
      <c r="AC367" s="169"/>
      <c r="AD367" s="169"/>
      <c r="AE367" s="169"/>
      <c r="AF367" s="169"/>
      <c r="AG367" s="169"/>
      <c r="AH367" s="169"/>
    </row>
    <row r="368" ht="15.75" customHeight="1">
      <c r="A368" s="169"/>
      <c r="B368" s="38" t="s">
        <v>3699</v>
      </c>
      <c r="C368" s="191" t="s">
        <v>3798</v>
      </c>
      <c r="D368" s="40"/>
      <c r="E368" s="40"/>
      <c r="F368" s="40"/>
      <c r="G368" s="39"/>
      <c r="H368" s="42" t="s">
        <v>3799</v>
      </c>
      <c r="I368" s="188">
        <v>44250.0</v>
      </c>
      <c r="J368" s="188">
        <v>44315.0</v>
      </c>
      <c r="K368" s="189">
        <v>4456.0</v>
      </c>
      <c r="L368" s="19"/>
      <c r="M368" s="192" t="s">
        <v>2893</v>
      </c>
      <c r="N368" s="193"/>
      <c r="O368" s="169"/>
      <c r="P368" s="169"/>
      <c r="Q368" s="169"/>
      <c r="R368" s="169"/>
      <c r="S368" s="169"/>
      <c r="T368" s="169"/>
      <c r="U368" s="169"/>
      <c r="V368" s="169"/>
      <c r="W368" s="169"/>
      <c r="X368" s="169"/>
      <c r="Y368" s="169"/>
      <c r="Z368" s="169"/>
      <c r="AA368" s="169"/>
      <c r="AB368" s="169"/>
      <c r="AC368" s="169"/>
      <c r="AD368" s="169"/>
      <c r="AE368" s="169"/>
      <c r="AF368" s="169"/>
      <c r="AG368" s="169"/>
      <c r="AH368" s="169"/>
    </row>
    <row r="369" ht="15.75" customHeight="1">
      <c r="A369" s="169"/>
      <c r="B369" s="38" t="s">
        <v>3699</v>
      </c>
      <c r="C369" s="191" t="s">
        <v>3800</v>
      </c>
      <c r="D369" s="40"/>
      <c r="E369" s="40"/>
      <c r="F369" s="40"/>
      <c r="G369" s="39"/>
      <c r="H369" s="42" t="s">
        <v>3801</v>
      </c>
      <c r="I369" s="188">
        <v>44250.0</v>
      </c>
      <c r="J369" s="188">
        <v>44315.0</v>
      </c>
      <c r="K369" s="189">
        <v>4223.0</v>
      </c>
      <c r="L369" s="19"/>
      <c r="M369" s="192" t="s">
        <v>2893</v>
      </c>
      <c r="N369" s="194"/>
      <c r="O369" s="169"/>
      <c r="P369" s="169"/>
      <c r="Q369" s="169"/>
      <c r="R369" s="169"/>
      <c r="S369" s="169"/>
      <c r="T369" s="169"/>
      <c r="U369" s="169"/>
      <c r="V369" s="169"/>
      <c r="W369" s="169"/>
      <c r="X369" s="169"/>
      <c r="Y369" s="169"/>
      <c r="Z369" s="169"/>
      <c r="AA369" s="169"/>
      <c r="AB369" s="169"/>
      <c r="AC369" s="169"/>
      <c r="AD369" s="169"/>
      <c r="AE369" s="169"/>
      <c r="AF369" s="169"/>
      <c r="AG369" s="169"/>
      <c r="AH369" s="169"/>
    </row>
    <row r="370" ht="15.75" customHeight="1">
      <c r="A370" s="169"/>
      <c r="B370" s="38" t="s">
        <v>3699</v>
      </c>
      <c r="C370" s="191" t="s">
        <v>3802</v>
      </c>
      <c r="D370" s="40"/>
      <c r="E370" s="40"/>
      <c r="F370" s="40"/>
      <c r="G370" s="39"/>
      <c r="H370" s="42" t="s">
        <v>3803</v>
      </c>
      <c r="I370" s="188">
        <v>44250.0</v>
      </c>
      <c r="J370" s="188">
        <v>44315.0</v>
      </c>
      <c r="K370" s="189">
        <v>5903.0</v>
      </c>
      <c r="L370" s="19"/>
      <c r="M370" s="192" t="s">
        <v>2893</v>
      </c>
      <c r="N370" s="193"/>
      <c r="O370" s="169"/>
      <c r="P370" s="169"/>
      <c r="Q370" s="169"/>
      <c r="R370" s="169"/>
      <c r="S370" s="169"/>
      <c r="T370" s="169"/>
      <c r="U370" s="169"/>
      <c r="V370" s="169"/>
      <c r="W370" s="169"/>
      <c r="X370" s="169"/>
      <c r="Y370" s="169"/>
      <c r="Z370" s="169"/>
      <c r="AA370" s="169"/>
      <c r="AB370" s="169"/>
      <c r="AC370" s="169"/>
      <c r="AD370" s="169"/>
      <c r="AE370" s="169"/>
      <c r="AF370" s="169"/>
      <c r="AG370" s="169"/>
      <c r="AH370" s="169"/>
    </row>
    <row r="371" ht="15.75" customHeight="1">
      <c r="A371" s="169"/>
      <c r="B371" s="38" t="s">
        <v>3699</v>
      </c>
      <c r="C371" s="191" t="s">
        <v>3804</v>
      </c>
      <c r="D371" s="40"/>
      <c r="E371" s="40"/>
      <c r="F371" s="40"/>
      <c r="G371" s="39"/>
      <c r="H371" s="42" t="s">
        <v>3805</v>
      </c>
      <c r="I371" s="188">
        <v>44250.0</v>
      </c>
      <c r="J371" s="188">
        <v>44315.0</v>
      </c>
      <c r="K371" s="189">
        <v>6900.0</v>
      </c>
      <c r="L371" s="19"/>
      <c r="M371" s="192" t="s">
        <v>2893</v>
      </c>
      <c r="N371" s="193"/>
      <c r="O371" s="169"/>
      <c r="P371" s="169"/>
      <c r="Q371" s="169"/>
      <c r="R371" s="169"/>
      <c r="S371" s="169"/>
      <c r="T371" s="169"/>
      <c r="U371" s="169"/>
      <c r="V371" s="169"/>
      <c r="W371" s="169"/>
      <c r="X371" s="169"/>
      <c r="Y371" s="169"/>
      <c r="Z371" s="169"/>
      <c r="AA371" s="169"/>
      <c r="AB371" s="169"/>
      <c r="AC371" s="169"/>
      <c r="AD371" s="169"/>
      <c r="AE371" s="169"/>
      <c r="AF371" s="169"/>
      <c r="AG371" s="169"/>
      <c r="AH371" s="169"/>
    </row>
    <row r="372" ht="15.75" customHeight="1">
      <c r="A372" s="169"/>
      <c r="B372" s="38" t="s">
        <v>3699</v>
      </c>
      <c r="C372" s="191" t="s">
        <v>3806</v>
      </c>
      <c r="D372" s="40"/>
      <c r="E372" s="40"/>
      <c r="F372" s="40"/>
      <c r="G372" s="39"/>
      <c r="H372" s="42" t="s">
        <v>3807</v>
      </c>
      <c r="I372" s="188">
        <v>44250.0</v>
      </c>
      <c r="J372" s="188">
        <v>44315.0</v>
      </c>
      <c r="K372" s="189">
        <v>5367.0</v>
      </c>
      <c r="L372" s="19"/>
      <c r="M372" s="192" t="s">
        <v>2893</v>
      </c>
      <c r="N372" s="193"/>
      <c r="O372" s="169"/>
      <c r="P372" s="169"/>
      <c r="Q372" s="169"/>
      <c r="R372" s="169"/>
      <c r="S372" s="169"/>
      <c r="T372" s="169"/>
      <c r="U372" s="169"/>
      <c r="V372" s="169"/>
      <c r="W372" s="169"/>
      <c r="X372" s="169"/>
      <c r="Y372" s="169"/>
      <c r="Z372" s="169"/>
      <c r="AA372" s="169"/>
      <c r="AB372" s="169"/>
      <c r="AC372" s="169"/>
      <c r="AD372" s="169"/>
      <c r="AE372" s="169"/>
      <c r="AF372" s="169"/>
      <c r="AG372" s="169"/>
      <c r="AH372" s="169"/>
    </row>
    <row r="373" ht="15.75" customHeight="1">
      <c r="A373" s="169"/>
      <c r="B373" s="38" t="s">
        <v>3699</v>
      </c>
      <c r="C373" s="191" t="s">
        <v>3808</v>
      </c>
      <c r="D373" s="40"/>
      <c r="E373" s="40"/>
      <c r="F373" s="40"/>
      <c r="G373" s="39"/>
      <c r="H373" s="42" t="s">
        <v>3809</v>
      </c>
      <c r="I373" s="188">
        <v>44250.0</v>
      </c>
      <c r="J373" s="188">
        <v>44315.0</v>
      </c>
      <c r="K373" s="189">
        <v>5717.0</v>
      </c>
      <c r="L373" s="19"/>
      <c r="M373" s="192" t="s">
        <v>2893</v>
      </c>
      <c r="N373" s="193"/>
      <c r="O373" s="169"/>
      <c r="P373" s="169"/>
      <c r="Q373" s="169"/>
      <c r="R373" s="169"/>
      <c r="S373" s="169"/>
      <c r="T373" s="169"/>
      <c r="U373" s="169"/>
      <c r="V373" s="169"/>
      <c r="W373" s="169"/>
      <c r="X373" s="169"/>
      <c r="Y373" s="169"/>
      <c r="Z373" s="169"/>
      <c r="AA373" s="169"/>
      <c r="AB373" s="169"/>
      <c r="AC373" s="169"/>
      <c r="AD373" s="169"/>
      <c r="AE373" s="169"/>
      <c r="AF373" s="169"/>
      <c r="AG373" s="169"/>
      <c r="AH373" s="169"/>
    </row>
    <row r="374" ht="15.75" customHeight="1">
      <c r="A374" s="169"/>
      <c r="B374" s="38" t="s">
        <v>3699</v>
      </c>
      <c r="C374" s="191" t="s">
        <v>3810</v>
      </c>
      <c r="D374" s="40"/>
      <c r="E374" s="40"/>
      <c r="F374" s="40"/>
      <c r="G374" s="39"/>
      <c r="H374" s="42" t="s">
        <v>3811</v>
      </c>
      <c r="I374" s="188">
        <v>44250.0</v>
      </c>
      <c r="J374" s="188">
        <v>44315.0</v>
      </c>
      <c r="K374" s="189">
        <v>6012.0</v>
      </c>
      <c r="L374" s="19"/>
      <c r="M374" s="192" t="s">
        <v>2893</v>
      </c>
      <c r="N374" s="193"/>
      <c r="O374" s="169"/>
      <c r="P374" s="169"/>
      <c r="Q374" s="169"/>
      <c r="R374" s="169"/>
      <c r="S374" s="169"/>
      <c r="T374" s="169"/>
      <c r="U374" s="169"/>
      <c r="V374" s="169"/>
      <c r="W374" s="169"/>
      <c r="X374" s="169"/>
      <c r="Y374" s="169"/>
      <c r="Z374" s="169"/>
      <c r="AA374" s="169"/>
      <c r="AB374" s="169"/>
      <c r="AC374" s="169"/>
      <c r="AD374" s="169"/>
      <c r="AE374" s="169"/>
      <c r="AF374" s="169"/>
      <c r="AG374" s="169"/>
      <c r="AH374" s="169"/>
    </row>
    <row r="375" ht="15.75" customHeight="1">
      <c r="A375" s="169"/>
      <c r="B375" s="38" t="s">
        <v>2222</v>
      </c>
      <c r="C375" s="191" t="s">
        <v>3812</v>
      </c>
      <c r="D375" s="40" t="s">
        <v>3813</v>
      </c>
      <c r="E375" s="40"/>
      <c r="F375" s="40"/>
      <c r="G375" s="39"/>
      <c r="H375" s="48" t="s">
        <v>3814</v>
      </c>
      <c r="I375" s="188">
        <v>44646.0</v>
      </c>
      <c r="J375" s="188">
        <v>44711.0</v>
      </c>
      <c r="K375" s="189">
        <v>1650.0</v>
      </c>
      <c r="L375" s="19"/>
      <c r="M375" s="192" t="s">
        <v>2223</v>
      </c>
      <c r="N375" s="119" t="s">
        <v>3815</v>
      </c>
      <c r="O375" s="169"/>
      <c r="P375" s="169"/>
      <c r="Q375" s="169"/>
      <c r="R375" s="169"/>
      <c r="S375" s="169"/>
      <c r="T375" s="169"/>
      <c r="U375" s="169"/>
      <c r="V375" s="169"/>
      <c r="W375" s="169"/>
      <c r="X375" s="169"/>
      <c r="Y375" s="169"/>
      <c r="Z375" s="169"/>
      <c r="AA375" s="169"/>
      <c r="AB375" s="169"/>
      <c r="AC375" s="169"/>
      <c r="AD375" s="169"/>
      <c r="AE375" s="169"/>
      <c r="AF375" s="169"/>
      <c r="AG375" s="169"/>
      <c r="AH375" s="169"/>
    </row>
    <row r="376" ht="15.75" customHeight="1">
      <c r="A376" s="169"/>
      <c r="B376" s="38" t="s">
        <v>2222</v>
      </c>
      <c r="C376" s="191" t="s">
        <v>3816</v>
      </c>
      <c r="D376" s="40" t="s">
        <v>3817</v>
      </c>
      <c r="E376" s="40"/>
      <c r="F376" s="40"/>
      <c r="G376" s="39"/>
      <c r="H376" s="42" t="s">
        <v>3818</v>
      </c>
      <c r="I376" s="188">
        <v>44646.0</v>
      </c>
      <c r="J376" s="188">
        <v>44711.0</v>
      </c>
      <c r="K376" s="189">
        <v>3998.0</v>
      </c>
      <c r="L376" s="19"/>
      <c r="M376" s="192" t="s">
        <v>3819</v>
      </c>
      <c r="N376" s="42"/>
      <c r="O376" s="169"/>
      <c r="P376" s="169"/>
      <c r="Q376" s="169"/>
      <c r="R376" s="169"/>
      <c r="S376" s="169"/>
      <c r="T376" s="169"/>
      <c r="U376" s="169"/>
      <c r="V376" s="169"/>
      <c r="W376" s="169"/>
      <c r="X376" s="169"/>
      <c r="Y376" s="169"/>
      <c r="Z376" s="169"/>
      <c r="AA376" s="169"/>
      <c r="AB376" s="169"/>
      <c r="AC376" s="169"/>
      <c r="AD376" s="169"/>
      <c r="AE376" s="169"/>
      <c r="AF376" s="169"/>
      <c r="AG376" s="169"/>
      <c r="AH376" s="169"/>
    </row>
    <row r="377" ht="15.75" customHeight="1">
      <c r="A377" s="169"/>
      <c r="B377" s="38" t="s">
        <v>2222</v>
      </c>
      <c r="C377" s="191" t="s">
        <v>3820</v>
      </c>
      <c r="D377" s="40" t="s">
        <v>3821</v>
      </c>
      <c r="E377" s="40"/>
      <c r="F377" s="40"/>
      <c r="G377" s="39"/>
      <c r="H377" s="42" t="s">
        <v>2262</v>
      </c>
      <c r="I377" s="188">
        <v>44646.0</v>
      </c>
      <c r="J377" s="188">
        <v>44711.0</v>
      </c>
      <c r="K377" s="189">
        <v>2402.0</v>
      </c>
      <c r="L377" s="19"/>
      <c r="M377" s="192" t="s">
        <v>3822</v>
      </c>
      <c r="N377" s="42"/>
      <c r="O377" s="169"/>
      <c r="P377" s="169"/>
      <c r="Q377" s="169"/>
      <c r="R377" s="169"/>
      <c r="S377" s="169"/>
      <c r="T377" s="169"/>
      <c r="U377" s="169"/>
      <c r="V377" s="169"/>
      <c r="W377" s="169"/>
      <c r="X377" s="169"/>
      <c r="Y377" s="169"/>
      <c r="Z377" s="169"/>
      <c r="AA377" s="169"/>
      <c r="AB377" s="169"/>
      <c r="AC377" s="169"/>
      <c r="AD377" s="169"/>
      <c r="AE377" s="169"/>
      <c r="AF377" s="169"/>
      <c r="AG377" s="169"/>
      <c r="AH377" s="169"/>
    </row>
    <row r="378" ht="15.75" customHeight="1">
      <c r="A378" s="169"/>
      <c r="B378" s="38" t="s">
        <v>2222</v>
      </c>
      <c r="C378" s="191" t="s">
        <v>3823</v>
      </c>
      <c r="D378" s="40" t="s">
        <v>3824</v>
      </c>
      <c r="E378" s="40"/>
      <c r="F378" s="40"/>
      <c r="G378" s="39"/>
      <c r="H378" s="42" t="s">
        <v>3825</v>
      </c>
      <c r="I378" s="188">
        <v>44646.0</v>
      </c>
      <c r="J378" s="188">
        <v>44711.0</v>
      </c>
      <c r="K378" s="189">
        <v>2934.0</v>
      </c>
      <c r="L378" s="19"/>
      <c r="M378" s="192" t="s">
        <v>3826</v>
      </c>
      <c r="N378" s="42"/>
      <c r="O378" s="169"/>
      <c r="P378" s="169"/>
      <c r="Q378" s="169"/>
      <c r="R378" s="169"/>
      <c r="S378" s="169"/>
      <c r="T378" s="169"/>
      <c r="U378" s="169"/>
      <c r="V378" s="169"/>
      <c r="W378" s="169"/>
      <c r="X378" s="169"/>
      <c r="Y378" s="169"/>
      <c r="Z378" s="169"/>
      <c r="AA378" s="169"/>
      <c r="AB378" s="169"/>
      <c r="AC378" s="169"/>
      <c r="AD378" s="169"/>
      <c r="AE378" s="169"/>
      <c r="AF378" s="169"/>
      <c r="AG378" s="169"/>
      <c r="AH378" s="169"/>
    </row>
    <row r="379" ht="15.75" customHeight="1">
      <c r="A379" s="169"/>
      <c r="B379" s="38" t="s">
        <v>2222</v>
      </c>
      <c r="C379" s="191" t="s">
        <v>3827</v>
      </c>
      <c r="D379" s="40" t="s">
        <v>3828</v>
      </c>
      <c r="E379" s="40"/>
      <c r="F379" s="40"/>
      <c r="G379" s="39"/>
      <c r="H379" s="48" t="s">
        <v>3829</v>
      </c>
      <c r="I379" s="188">
        <v>44646.0</v>
      </c>
      <c r="J379" s="188">
        <v>44711.0</v>
      </c>
      <c r="K379" s="189">
        <v>1250.0</v>
      </c>
      <c r="L379" s="19"/>
      <c r="M379" s="192" t="s">
        <v>3830</v>
      </c>
      <c r="N379" s="119" t="s">
        <v>3831</v>
      </c>
      <c r="O379" s="169"/>
      <c r="P379" s="169"/>
      <c r="Q379" s="169"/>
      <c r="R379" s="169"/>
      <c r="S379" s="169"/>
      <c r="T379" s="169"/>
      <c r="U379" s="169"/>
      <c r="V379" s="169"/>
      <c r="W379" s="169"/>
      <c r="X379" s="169"/>
      <c r="Y379" s="169"/>
      <c r="Z379" s="169"/>
      <c r="AA379" s="169"/>
      <c r="AB379" s="169"/>
      <c r="AC379" s="169"/>
      <c r="AD379" s="169"/>
      <c r="AE379" s="169"/>
      <c r="AF379" s="169"/>
      <c r="AG379" s="169"/>
      <c r="AH379" s="169"/>
    </row>
    <row r="380" ht="15.75" customHeight="1">
      <c r="A380" s="169"/>
      <c r="B380" s="38" t="s">
        <v>2222</v>
      </c>
      <c r="C380" s="191" t="s">
        <v>3832</v>
      </c>
      <c r="D380" s="40" t="s">
        <v>3833</v>
      </c>
      <c r="E380" s="40"/>
      <c r="F380" s="40"/>
      <c r="G380" s="39"/>
      <c r="H380" s="42" t="s">
        <v>2230</v>
      </c>
      <c r="I380" s="188">
        <v>44646.0</v>
      </c>
      <c r="J380" s="188">
        <v>44711.0</v>
      </c>
      <c r="K380" s="189">
        <v>2002.0</v>
      </c>
      <c r="L380" s="19"/>
      <c r="M380" s="192" t="s">
        <v>3834</v>
      </c>
      <c r="N380" s="42"/>
      <c r="O380" s="169"/>
      <c r="P380" s="169"/>
      <c r="Q380" s="169"/>
      <c r="R380" s="169"/>
      <c r="S380" s="169"/>
      <c r="T380" s="169"/>
      <c r="U380" s="169"/>
      <c r="V380" s="169"/>
      <c r="W380" s="169"/>
      <c r="X380" s="169"/>
      <c r="Y380" s="169"/>
      <c r="Z380" s="169"/>
      <c r="AA380" s="169"/>
      <c r="AB380" s="169"/>
      <c r="AC380" s="169"/>
      <c r="AD380" s="169"/>
      <c r="AE380" s="169"/>
      <c r="AF380" s="169"/>
      <c r="AG380" s="169"/>
      <c r="AH380" s="169"/>
    </row>
    <row r="381" ht="15.75" customHeight="1">
      <c r="A381" s="169"/>
      <c r="B381" s="38" t="s">
        <v>2222</v>
      </c>
      <c r="C381" s="191" t="s">
        <v>3835</v>
      </c>
      <c r="D381" s="40" t="s">
        <v>3836</v>
      </c>
      <c r="E381" s="40"/>
      <c r="F381" s="40"/>
      <c r="G381" s="39"/>
      <c r="H381" s="42" t="s">
        <v>2246</v>
      </c>
      <c r="I381" s="188">
        <v>44646.0</v>
      </c>
      <c r="J381" s="188">
        <v>44711.0</v>
      </c>
      <c r="K381" s="189">
        <v>2534.0</v>
      </c>
      <c r="L381" s="19"/>
      <c r="M381" s="192" t="s">
        <v>3837</v>
      </c>
      <c r="N381" s="42"/>
      <c r="O381" s="169"/>
      <c r="P381" s="169"/>
      <c r="Q381" s="169"/>
      <c r="R381" s="169"/>
      <c r="S381" s="169"/>
      <c r="T381" s="169"/>
      <c r="U381" s="169"/>
      <c r="V381" s="169"/>
      <c r="W381" s="169"/>
      <c r="X381" s="169"/>
      <c r="Y381" s="169"/>
      <c r="Z381" s="169"/>
      <c r="AA381" s="169"/>
      <c r="AB381" s="169"/>
      <c r="AC381" s="169"/>
      <c r="AD381" s="169"/>
      <c r="AE381" s="169"/>
      <c r="AF381" s="169"/>
      <c r="AG381" s="169"/>
      <c r="AH381" s="169"/>
    </row>
    <row r="382" ht="15.75" customHeight="1">
      <c r="A382" s="169"/>
      <c r="B382" s="38" t="s">
        <v>3699</v>
      </c>
      <c r="C382" s="191" t="s">
        <v>3838</v>
      </c>
      <c r="D382" s="40"/>
      <c r="E382" s="40"/>
      <c r="F382" s="40"/>
      <c r="G382" s="39"/>
      <c r="H382" s="42" t="s">
        <v>3839</v>
      </c>
      <c r="I382" s="188">
        <v>44188.0</v>
      </c>
      <c r="J382" s="188">
        <v>44253.0</v>
      </c>
      <c r="K382" s="189">
        <v>8184.0</v>
      </c>
      <c r="L382" s="19"/>
      <c r="M382" s="192" t="s">
        <v>2893</v>
      </c>
      <c r="N382" s="42"/>
      <c r="O382" s="169"/>
      <c r="P382" s="169"/>
      <c r="Q382" s="169"/>
      <c r="R382" s="169"/>
      <c r="S382" s="169"/>
      <c r="T382" s="169"/>
      <c r="U382" s="169"/>
      <c r="V382" s="169"/>
      <c r="W382" s="169"/>
      <c r="X382" s="169"/>
      <c r="Y382" s="169"/>
      <c r="Z382" s="169"/>
      <c r="AA382" s="169"/>
      <c r="AB382" s="169"/>
      <c r="AC382" s="169"/>
      <c r="AD382" s="169"/>
      <c r="AE382" s="169"/>
      <c r="AF382" s="169"/>
      <c r="AG382" s="169"/>
      <c r="AH382" s="169"/>
    </row>
    <row r="383" ht="15.75" customHeight="1">
      <c r="A383" s="169"/>
      <c r="B383" s="38" t="s">
        <v>3699</v>
      </c>
      <c r="C383" s="191" t="s">
        <v>3840</v>
      </c>
      <c r="D383" s="40"/>
      <c r="E383" s="40"/>
      <c r="F383" s="40"/>
      <c r="G383" s="39"/>
      <c r="H383" s="42" t="s">
        <v>3841</v>
      </c>
      <c r="I383" s="188">
        <v>44250.0</v>
      </c>
      <c r="J383" s="188">
        <v>44315.0</v>
      </c>
      <c r="K383" s="189">
        <v>7817.0</v>
      </c>
      <c r="L383" s="19"/>
      <c r="M383" s="192" t="s">
        <v>2893</v>
      </c>
      <c r="N383" s="193"/>
      <c r="O383" s="169"/>
      <c r="P383" s="169"/>
      <c r="Q383" s="169"/>
      <c r="R383" s="169"/>
      <c r="S383" s="169"/>
      <c r="T383" s="169"/>
      <c r="U383" s="169"/>
      <c r="V383" s="169"/>
      <c r="W383" s="169"/>
      <c r="X383" s="169"/>
      <c r="Y383" s="169"/>
      <c r="Z383" s="169"/>
      <c r="AA383" s="169"/>
      <c r="AB383" s="169"/>
      <c r="AC383" s="169"/>
      <c r="AD383" s="169"/>
      <c r="AE383" s="169"/>
      <c r="AF383" s="169"/>
      <c r="AG383" s="169"/>
      <c r="AH383" s="169"/>
    </row>
    <row r="384" ht="15.75" customHeight="1">
      <c r="A384" s="169"/>
      <c r="B384" s="38" t="s">
        <v>3699</v>
      </c>
      <c r="C384" s="191" t="s">
        <v>3842</v>
      </c>
      <c r="D384" s="40"/>
      <c r="E384" s="40"/>
      <c r="F384" s="40"/>
      <c r="G384" s="39"/>
      <c r="H384" s="42" t="s">
        <v>3843</v>
      </c>
      <c r="I384" s="188">
        <v>44188.0</v>
      </c>
      <c r="J384" s="188">
        <v>44253.0</v>
      </c>
      <c r="K384" s="189">
        <v>8184.0</v>
      </c>
      <c r="L384" s="19"/>
      <c r="M384" s="192" t="s">
        <v>2893</v>
      </c>
      <c r="N384" s="42"/>
      <c r="O384" s="169"/>
      <c r="P384" s="169"/>
      <c r="Q384" s="169"/>
      <c r="R384" s="169"/>
      <c r="S384" s="169"/>
      <c r="T384" s="169"/>
      <c r="U384" s="169"/>
      <c r="V384" s="169"/>
      <c r="W384" s="169"/>
      <c r="X384" s="169"/>
      <c r="Y384" s="169"/>
      <c r="Z384" s="169"/>
      <c r="AA384" s="169"/>
      <c r="AB384" s="169"/>
      <c r="AC384" s="169"/>
      <c r="AD384" s="169"/>
      <c r="AE384" s="169"/>
      <c r="AF384" s="169"/>
      <c r="AG384" s="169"/>
      <c r="AH384" s="169"/>
    </row>
    <row r="385" ht="15.75" customHeight="1">
      <c r="A385" s="169"/>
      <c r="B385" s="38" t="s">
        <v>3699</v>
      </c>
      <c r="C385" s="191" t="s">
        <v>3844</v>
      </c>
      <c r="D385" s="40"/>
      <c r="E385" s="40"/>
      <c r="F385" s="40"/>
      <c r="G385" s="39"/>
      <c r="H385" s="42" t="s">
        <v>3845</v>
      </c>
      <c r="I385" s="188">
        <v>44250.0</v>
      </c>
      <c r="J385" s="188">
        <v>44315.0</v>
      </c>
      <c r="K385" s="189">
        <v>7817.0</v>
      </c>
      <c r="L385" s="19"/>
      <c r="M385" s="192" t="s">
        <v>2893</v>
      </c>
      <c r="N385" s="193"/>
      <c r="O385" s="169"/>
      <c r="P385" s="169"/>
      <c r="Q385" s="169"/>
      <c r="R385" s="169"/>
      <c r="S385" s="169"/>
      <c r="T385" s="169"/>
      <c r="U385" s="169"/>
      <c r="V385" s="169"/>
      <c r="W385" s="169"/>
      <c r="X385" s="169"/>
      <c r="Y385" s="169"/>
      <c r="Z385" s="169"/>
      <c r="AA385" s="169"/>
      <c r="AB385" s="169"/>
      <c r="AC385" s="169"/>
      <c r="AD385" s="169"/>
      <c r="AE385" s="169"/>
      <c r="AF385" s="169"/>
      <c r="AG385" s="169"/>
      <c r="AH385" s="169"/>
    </row>
    <row r="386" ht="15.75" customHeight="1">
      <c r="A386" s="169"/>
      <c r="B386" s="38" t="s">
        <v>3699</v>
      </c>
      <c r="C386" s="191" t="s">
        <v>3846</v>
      </c>
      <c r="D386" s="40"/>
      <c r="E386" s="40"/>
      <c r="F386" s="40"/>
      <c r="G386" s="39"/>
      <c r="H386" s="42" t="s">
        <v>3847</v>
      </c>
      <c r="I386" s="188">
        <v>44188.0</v>
      </c>
      <c r="J386" s="188">
        <v>44253.0</v>
      </c>
      <c r="K386" s="189">
        <v>6358.0</v>
      </c>
      <c r="L386" s="19"/>
      <c r="M386" s="192" t="s">
        <v>2893</v>
      </c>
      <c r="N386" s="42"/>
      <c r="O386" s="169"/>
      <c r="P386" s="169"/>
      <c r="Q386" s="169"/>
      <c r="R386" s="169"/>
      <c r="S386" s="169"/>
      <c r="T386" s="169"/>
      <c r="U386" s="169"/>
      <c r="V386" s="169"/>
      <c r="W386" s="169"/>
      <c r="X386" s="169"/>
      <c r="Y386" s="169"/>
      <c r="Z386" s="169"/>
      <c r="AA386" s="169"/>
      <c r="AB386" s="169"/>
      <c r="AC386" s="169"/>
      <c r="AD386" s="169"/>
      <c r="AE386" s="169"/>
      <c r="AF386" s="169"/>
      <c r="AG386" s="169"/>
      <c r="AH386" s="169"/>
    </row>
    <row r="387" ht="15.75" customHeight="1">
      <c r="A387" s="169"/>
      <c r="B387" s="38" t="s">
        <v>3699</v>
      </c>
      <c r="C387" s="191" t="s">
        <v>3848</v>
      </c>
      <c r="D387" s="40"/>
      <c r="E387" s="40"/>
      <c r="F387" s="40"/>
      <c r="G387" s="39"/>
      <c r="H387" s="42" t="s">
        <v>3849</v>
      </c>
      <c r="I387" s="188">
        <v>44250.0</v>
      </c>
      <c r="J387" s="188">
        <v>44315.0</v>
      </c>
      <c r="K387" s="189">
        <v>6218.0</v>
      </c>
      <c r="L387" s="19"/>
      <c r="M387" s="192" t="s">
        <v>2893</v>
      </c>
      <c r="N387" s="193"/>
      <c r="O387" s="169"/>
      <c r="P387" s="169"/>
      <c r="Q387" s="169"/>
      <c r="R387" s="169"/>
      <c r="S387" s="169"/>
      <c r="T387" s="169"/>
      <c r="U387" s="169"/>
      <c r="V387" s="169"/>
      <c r="W387" s="169"/>
      <c r="X387" s="169"/>
      <c r="Y387" s="169"/>
      <c r="Z387" s="169"/>
      <c r="AA387" s="169"/>
      <c r="AB387" s="169"/>
      <c r="AC387" s="169"/>
      <c r="AD387" s="169"/>
      <c r="AE387" s="169"/>
      <c r="AF387" s="169"/>
      <c r="AG387" s="169"/>
      <c r="AH387" s="169"/>
    </row>
    <row r="388" ht="15.75" customHeight="1">
      <c r="A388" s="169"/>
      <c r="B388" s="38" t="s">
        <v>3699</v>
      </c>
      <c r="C388" s="191" t="s">
        <v>3850</v>
      </c>
      <c r="D388" s="40"/>
      <c r="E388" s="40"/>
      <c r="F388" s="40"/>
      <c r="G388" s="39"/>
      <c r="H388" s="42" t="s">
        <v>3851</v>
      </c>
      <c r="I388" s="188">
        <v>44188.0</v>
      </c>
      <c r="J388" s="188">
        <v>44253.0</v>
      </c>
      <c r="K388" s="189">
        <v>6358.0</v>
      </c>
      <c r="L388" s="19"/>
      <c r="M388" s="192" t="s">
        <v>2893</v>
      </c>
      <c r="N388" s="42"/>
      <c r="O388" s="169"/>
      <c r="P388" s="169"/>
      <c r="Q388" s="169"/>
      <c r="R388" s="169"/>
      <c r="S388" s="169"/>
      <c r="T388" s="169"/>
      <c r="U388" s="169"/>
      <c r="V388" s="169"/>
      <c r="W388" s="169"/>
      <c r="X388" s="169"/>
      <c r="Y388" s="169"/>
      <c r="Z388" s="169"/>
      <c r="AA388" s="169"/>
      <c r="AB388" s="169"/>
      <c r="AC388" s="169"/>
      <c r="AD388" s="169"/>
      <c r="AE388" s="169"/>
      <c r="AF388" s="169"/>
      <c r="AG388" s="169"/>
      <c r="AH388" s="169"/>
    </row>
    <row r="389" ht="15.75" customHeight="1">
      <c r="A389" s="169"/>
      <c r="B389" s="38" t="s">
        <v>3699</v>
      </c>
      <c r="C389" s="191" t="s">
        <v>3852</v>
      </c>
      <c r="D389" s="40"/>
      <c r="E389" s="118"/>
      <c r="F389" s="118"/>
      <c r="G389" s="117"/>
      <c r="H389" s="42" t="s">
        <v>3853</v>
      </c>
      <c r="I389" s="188">
        <v>44250.0</v>
      </c>
      <c r="J389" s="188">
        <v>44315.0</v>
      </c>
      <c r="K389" s="189">
        <v>6218.0</v>
      </c>
      <c r="L389" s="19"/>
      <c r="M389" s="192" t="s">
        <v>2893</v>
      </c>
      <c r="N389" s="194"/>
      <c r="O389" s="169"/>
      <c r="P389" s="169"/>
      <c r="Q389" s="169"/>
      <c r="R389" s="169"/>
      <c r="S389" s="169"/>
      <c r="T389" s="169"/>
      <c r="U389" s="169"/>
      <c r="V389" s="169"/>
      <c r="W389" s="169"/>
      <c r="X389" s="169"/>
      <c r="Y389" s="169"/>
      <c r="Z389" s="169"/>
      <c r="AA389" s="169"/>
      <c r="AB389" s="169"/>
      <c r="AC389" s="169"/>
      <c r="AD389" s="169"/>
      <c r="AE389" s="169"/>
      <c r="AF389" s="169"/>
      <c r="AG389" s="169"/>
      <c r="AH389" s="169"/>
    </row>
    <row r="390" ht="15.75" customHeight="1">
      <c r="A390" s="169"/>
      <c r="B390" s="116" t="s">
        <v>3699</v>
      </c>
      <c r="C390" s="186" t="s">
        <v>3854</v>
      </c>
      <c r="D390" s="118"/>
      <c r="E390" s="118"/>
      <c r="F390" s="118"/>
      <c r="G390" s="117"/>
      <c r="H390" s="119" t="s">
        <v>3855</v>
      </c>
      <c r="I390" s="188">
        <v>44188.0</v>
      </c>
      <c r="J390" s="188">
        <v>44253.0</v>
      </c>
      <c r="K390" s="189">
        <v>3314.0</v>
      </c>
      <c r="L390" s="19"/>
      <c r="M390" s="192" t="s">
        <v>2893</v>
      </c>
      <c r="N390" s="194"/>
      <c r="O390" s="169"/>
      <c r="P390" s="169"/>
      <c r="Q390" s="169"/>
      <c r="R390" s="169"/>
      <c r="S390" s="169"/>
      <c r="T390" s="169"/>
      <c r="U390" s="169"/>
      <c r="V390" s="169"/>
      <c r="W390" s="169"/>
      <c r="X390" s="169"/>
      <c r="Y390" s="169"/>
      <c r="Z390" s="169"/>
      <c r="AA390" s="169"/>
      <c r="AB390" s="169"/>
      <c r="AC390" s="169"/>
      <c r="AD390" s="169"/>
      <c r="AE390" s="169"/>
      <c r="AF390" s="169"/>
      <c r="AG390" s="169"/>
      <c r="AH390" s="169"/>
    </row>
    <row r="391" ht="15.75" customHeight="1">
      <c r="A391" s="169"/>
      <c r="B391" s="38" t="s">
        <v>3699</v>
      </c>
      <c r="C391" s="191" t="s">
        <v>3856</v>
      </c>
      <c r="D391" s="40"/>
      <c r="E391" s="40"/>
      <c r="F391" s="40"/>
      <c r="G391" s="39"/>
      <c r="H391" s="42" t="s">
        <v>3857</v>
      </c>
      <c r="I391" s="188">
        <v>44188.0</v>
      </c>
      <c r="J391" s="188">
        <v>44253.0</v>
      </c>
      <c r="K391" s="189">
        <v>3902.0</v>
      </c>
      <c r="L391" s="19"/>
      <c r="M391" s="192" t="s">
        <v>2893</v>
      </c>
      <c r="N391" s="42"/>
      <c r="O391" s="169"/>
      <c r="P391" s="169"/>
      <c r="Q391" s="169"/>
      <c r="R391" s="169"/>
      <c r="S391" s="169"/>
      <c r="T391" s="169"/>
      <c r="U391" s="169"/>
      <c r="V391" s="169"/>
      <c r="W391" s="169"/>
      <c r="X391" s="169"/>
      <c r="Y391" s="169"/>
      <c r="Z391" s="169"/>
      <c r="AA391" s="169"/>
      <c r="AB391" s="169"/>
      <c r="AC391" s="169"/>
      <c r="AD391" s="169"/>
      <c r="AE391" s="169"/>
      <c r="AF391" s="169"/>
      <c r="AG391" s="169"/>
      <c r="AH391" s="169"/>
    </row>
    <row r="392" ht="15.75" customHeight="1">
      <c r="A392" s="169"/>
      <c r="B392" s="38" t="s">
        <v>3699</v>
      </c>
      <c r="C392" s="191" t="s">
        <v>3858</v>
      </c>
      <c r="D392" s="40"/>
      <c r="E392" s="40"/>
      <c r="F392" s="40"/>
      <c r="G392" s="39"/>
      <c r="H392" s="42" t="s">
        <v>3859</v>
      </c>
      <c r="I392" s="188">
        <v>44250.0</v>
      </c>
      <c r="J392" s="188">
        <v>44315.0</v>
      </c>
      <c r="K392" s="189">
        <v>3731.0</v>
      </c>
      <c r="L392" s="19"/>
      <c r="M392" s="192" t="s">
        <v>2893</v>
      </c>
      <c r="N392" s="193"/>
      <c r="O392" s="169"/>
      <c r="P392" s="169"/>
      <c r="Q392" s="169"/>
      <c r="R392" s="169"/>
      <c r="S392" s="169"/>
      <c r="T392" s="169"/>
      <c r="U392" s="169"/>
      <c r="V392" s="169"/>
      <c r="W392" s="169"/>
      <c r="X392" s="169"/>
      <c r="Y392" s="169"/>
      <c r="Z392" s="169"/>
      <c r="AA392" s="169"/>
      <c r="AB392" s="169"/>
      <c r="AC392" s="169"/>
      <c r="AD392" s="169"/>
      <c r="AE392" s="169"/>
      <c r="AF392" s="169"/>
      <c r="AG392" s="169"/>
      <c r="AH392" s="169"/>
    </row>
    <row r="393" ht="15.75" customHeight="1">
      <c r="A393" s="169"/>
      <c r="B393" s="38" t="s">
        <v>3699</v>
      </c>
      <c r="C393" s="186" t="s">
        <v>3860</v>
      </c>
      <c r="D393" s="40"/>
      <c r="E393" s="118"/>
      <c r="F393" s="118"/>
      <c r="G393" s="117"/>
      <c r="H393" s="42" t="s">
        <v>3861</v>
      </c>
      <c r="I393" s="188">
        <v>44188.0</v>
      </c>
      <c r="J393" s="188">
        <v>44253.0</v>
      </c>
      <c r="K393" s="189">
        <v>4072.0</v>
      </c>
      <c r="L393" s="19"/>
      <c r="M393" s="192" t="s">
        <v>2893</v>
      </c>
      <c r="N393" s="119"/>
      <c r="O393" s="169"/>
      <c r="P393" s="169"/>
      <c r="Q393" s="169"/>
      <c r="R393" s="169"/>
      <c r="S393" s="169"/>
      <c r="T393" s="169"/>
      <c r="U393" s="169"/>
      <c r="V393" s="169"/>
      <c r="W393" s="169"/>
      <c r="X393" s="169"/>
      <c r="Y393" s="169"/>
      <c r="Z393" s="169"/>
      <c r="AA393" s="169"/>
      <c r="AB393" s="169"/>
      <c r="AC393" s="169"/>
      <c r="AD393" s="169"/>
      <c r="AE393" s="169"/>
      <c r="AF393" s="169"/>
      <c r="AG393" s="169"/>
      <c r="AH393" s="169"/>
    </row>
    <row r="394" ht="15.75" customHeight="1">
      <c r="A394" s="169"/>
      <c r="B394" s="38" t="s">
        <v>3699</v>
      </c>
      <c r="C394" s="186" t="s">
        <v>3862</v>
      </c>
      <c r="D394" s="118"/>
      <c r="E394" s="118"/>
      <c r="F394" s="118"/>
      <c r="G394" s="117"/>
      <c r="H394" s="42" t="s">
        <v>3863</v>
      </c>
      <c r="I394" s="188">
        <v>44250.0</v>
      </c>
      <c r="J394" s="188">
        <v>44315.0</v>
      </c>
      <c r="K394" s="189">
        <v>4033.0</v>
      </c>
      <c r="L394" s="19"/>
      <c r="M394" s="192" t="s">
        <v>2893</v>
      </c>
      <c r="N394" s="194"/>
      <c r="O394" s="169"/>
      <c r="P394" s="169"/>
      <c r="Q394" s="169"/>
      <c r="R394" s="169"/>
      <c r="S394" s="169"/>
      <c r="T394" s="169"/>
      <c r="U394" s="169"/>
      <c r="V394" s="169"/>
      <c r="W394" s="169"/>
      <c r="X394" s="169"/>
      <c r="Y394" s="169"/>
      <c r="Z394" s="169"/>
      <c r="AA394" s="169"/>
      <c r="AB394" s="169"/>
      <c r="AC394" s="169"/>
      <c r="AD394" s="169"/>
      <c r="AE394" s="169"/>
      <c r="AF394" s="169"/>
      <c r="AG394" s="169"/>
      <c r="AH394" s="169"/>
    </row>
    <row r="395" ht="15.75" customHeight="1">
      <c r="A395" s="169"/>
      <c r="B395" s="38" t="s">
        <v>2311</v>
      </c>
      <c r="C395" s="186" t="s">
        <v>3864</v>
      </c>
      <c r="D395" s="118" t="s">
        <v>3865</v>
      </c>
      <c r="E395" s="118"/>
      <c r="F395" s="118"/>
      <c r="G395" s="117"/>
      <c r="H395" s="42" t="s">
        <v>3866</v>
      </c>
      <c r="I395" s="188">
        <v>44088.0</v>
      </c>
      <c r="J395" s="188">
        <v>44153.0</v>
      </c>
      <c r="K395" s="189">
        <v>1456.0</v>
      </c>
      <c r="L395" s="19"/>
      <c r="M395" s="192" t="s">
        <v>3867</v>
      </c>
      <c r="N395" s="119" t="s">
        <v>3866</v>
      </c>
      <c r="O395" s="169"/>
      <c r="P395" s="169"/>
      <c r="Q395" s="169"/>
      <c r="R395" s="169"/>
      <c r="S395" s="169"/>
      <c r="T395" s="169"/>
      <c r="U395" s="169"/>
      <c r="V395" s="169"/>
      <c r="W395" s="169"/>
      <c r="X395" s="169"/>
      <c r="Y395" s="169"/>
      <c r="Z395" s="169"/>
      <c r="AA395" s="169"/>
      <c r="AB395" s="169"/>
      <c r="AC395" s="169"/>
      <c r="AD395" s="169"/>
      <c r="AE395" s="169"/>
      <c r="AF395" s="169"/>
      <c r="AG395" s="169"/>
      <c r="AH395" s="169"/>
    </row>
    <row r="396" ht="15.75" customHeight="1">
      <c r="A396" s="169"/>
      <c r="B396" s="38" t="s">
        <v>2311</v>
      </c>
      <c r="C396" s="186" t="s">
        <v>3868</v>
      </c>
      <c r="D396" s="118" t="s">
        <v>3869</v>
      </c>
      <c r="E396" s="118"/>
      <c r="F396" s="118"/>
      <c r="G396" s="117"/>
      <c r="H396" s="42" t="s">
        <v>3870</v>
      </c>
      <c r="I396" s="188">
        <v>44586.0</v>
      </c>
      <c r="J396" s="188">
        <v>44651.0</v>
      </c>
      <c r="K396" s="189">
        <v>1430.0</v>
      </c>
      <c r="L396" s="19"/>
      <c r="M396" s="192" t="s">
        <v>2893</v>
      </c>
      <c r="N396" s="119"/>
      <c r="O396" s="169"/>
      <c r="P396" s="169"/>
      <c r="Q396" s="169"/>
      <c r="R396" s="169"/>
      <c r="S396" s="169"/>
      <c r="T396" s="169"/>
      <c r="U396" s="169"/>
      <c r="V396" s="169"/>
      <c r="W396" s="169"/>
      <c r="X396" s="169"/>
      <c r="Y396" s="169"/>
      <c r="Z396" s="169"/>
      <c r="AA396" s="169"/>
      <c r="AB396" s="169"/>
      <c r="AC396" s="169"/>
      <c r="AD396" s="169"/>
      <c r="AE396" s="169"/>
      <c r="AF396" s="169"/>
      <c r="AG396" s="169"/>
      <c r="AH396" s="169"/>
    </row>
    <row r="397" ht="15.75" customHeight="1">
      <c r="A397" s="169"/>
      <c r="B397" s="116" t="s">
        <v>2311</v>
      </c>
      <c r="C397" s="186" t="s">
        <v>3871</v>
      </c>
      <c r="D397" s="118" t="s">
        <v>3872</v>
      </c>
      <c r="E397" s="118"/>
      <c r="F397" s="118"/>
      <c r="G397" s="117"/>
      <c r="H397" s="119" t="s">
        <v>3873</v>
      </c>
      <c r="I397" s="188">
        <v>44586.0</v>
      </c>
      <c r="J397" s="188">
        <v>44651.0</v>
      </c>
      <c r="K397" s="189">
        <v>1690.0</v>
      </c>
      <c r="L397" s="19"/>
      <c r="M397" s="192" t="s">
        <v>2893</v>
      </c>
      <c r="N397" s="119"/>
      <c r="O397" s="169"/>
      <c r="P397" s="169"/>
      <c r="Q397" s="169"/>
      <c r="R397" s="169"/>
      <c r="S397" s="169"/>
      <c r="T397" s="169"/>
      <c r="U397" s="169"/>
      <c r="V397" s="169"/>
      <c r="W397" s="169"/>
      <c r="X397" s="169"/>
      <c r="Y397" s="169"/>
      <c r="Z397" s="169"/>
      <c r="AA397" s="169"/>
      <c r="AB397" s="169"/>
      <c r="AC397" s="169"/>
      <c r="AD397" s="169"/>
      <c r="AE397" s="169"/>
      <c r="AF397" s="169"/>
      <c r="AG397" s="169"/>
      <c r="AH397" s="169"/>
    </row>
    <row r="398" ht="15.75" customHeight="1">
      <c r="A398" s="169"/>
      <c r="B398" s="38" t="s">
        <v>2311</v>
      </c>
      <c r="C398" s="191" t="s">
        <v>3874</v>
      </c>
      <c r="D398" s="40" t="s">
        <v>3875</v>
      </c>
      <c r="E398" s="40"/>
      <c r="F398" s="40"/>
      <c r="G398" s="39"/>
      <c r="H398" s="42" t="s">
        <v>3876</v>
      </c>
      <c r="I398" s="188">
        <v>44586.0</v>
      </c>
      <c r="J398" s="188">
        <v>44651.0</v>
      </c>
      <c r="K398" s="189">
        <v>1430.0</v>
      </c>
      <c r="L398" s="19"/>
      <c r="M398" s="192" t="s">
        <v>2893</v>
      </c>
      <c r="N398" s="119"/>
      <c r="O398" s="169"/>
      <c r="P398" s="169"/>
      <c r="Q398" s="169"/>
      <c r="R398" s="169"/>
      <c r="S398" s="169"/>
      <c r="T398" s="169"/>
      <c r="U398" s="169"/>
      <c r="V398" s="169"/>
      <c r="W398" s="169"/>
      <c r="X398" s="169"/>
      <c r="Y398" s="169"/>
      <c r="Z398" s="169"/>
      <c r="AA398" s="169"/>
      <c r="AB398" s="169"/>
      <c r="AC398" s="169"/>
      <c r="AD398" s="169"/>
      <c r="AE398" s="169"/>
      <c r="AF398" s="169"/>
      <c r="AG398" s="169"/>
      <c r="AH398" s="169"/>
    </row>
    <row r="399" ht="15.75" customHeight="1">
      <c r="A399" s="169"/>
      <c r="B399" s="38" t="s">
        <v>2311</v>
      </c>
      <c r="C399" s="191" t="s">
        <v>3877</v>
      </c>
      <c r="D399" s="40" t="s">
        <v>3878</v>
      </c>
      <c r="E399" s="40"/>
      <c r="F399" s="40"/>
      <c r="G399" s="39"/>
      <c r="H399" s="42" t="s">
        <v>3879</v>
      </c>
      <c r="I399" s="188">
        <v>44586.0</v>
      </c>
      <c r="J399" s="188">
        <v>44651.0</v>
      </c>
      <c r="K399" s="189">
        <v>2870.0</v>
      </c>
      <c r="L399" s="19"/>
      <c r="M399" s="192" t="s">
        <v>2893</v>
      </c>
      <c r="N399" s="42"/>
      <c r="O399" s="169"/>
      <c r="P399" s="169"/>
      <c r="Q399" s="169"/>
      <c r="R399" s="169"/>
      <c r="S399" s="169"/>
      <c r="T399" s="169"/>
      <c r="U399" s="169"/>
      <c r="V399" s="169"/>
      <c r="W399" s="169"/>
      <c r="X399" s="169"/>
      <c r="Y399" s="169"/>
      <c r="Z399" s="169"/>
      <c r="AA399" s="169"/>
      <c r="AB399" s="169"/>
      <c r="AC399" s="169"/>
      <c r="AD399" s="169"/>
      <c r="AE399" s="169"/>
      <c r="AF399" s="169"/>
      <c r="AG399" s="169"/>
      <c r="AH399" s="169"/>
    </row>
    <row r="400" ht="15.75" customHeight="1">
      <c r="A400" s="169"/>
      <c r="B400" s="38" t="s">
        <v>2311</v>
      </c>
      <c r="C400" s="191" t="s">
        <v>3880</v>
      </c>
      <c r="D400" s="39" t="s">
        <v>3881</v>
      </c>
      <c r="E400" s="40"/>
      <c r="F400" s="40"/>
      <c r="G400" s="39"/>
      <c r="H400" s="42" t="s">
        <v>3882</v>
      </c>
      <c r="I400" s="188">
        <v>43961.0</v>
      </c>
      <c r="J400" s="188">
        <v>44026.0</v>
      </c>
      <c r="K400" s="189">
        <v>3108.0</v>
      </c>
      <c r="L400" s="19"/>
      <c r="M400" s="192" t="s">
        <v>3883</v>
      </c>
      <c r="N400" s="42"/>
      <c r="O400" s="169"/>
      <c r="P400" s="169"/>
      <c r="Q400" s="169"/>
      <c r="R400" s="169"/>
      <c r="S400" s="169"/>
      <c r="T400" s="169"/>
      <c r="U400" s="169"/>
      <c r="V400" s="169"/>
      <c r="W400" s="169"/>
      <c r="X400" s="169"/>
      <c r="Y400" s="169"/>
      <c r="Z400" s="169"/>
      <c r="AA400" s="169"/>
      <c r="AB400" s="169"/>
      <c r="AC400" s="169"/>
      <c r="AD400" s="169"/>
      <c r="AE400" s="169"/>
      <c r="AF400" s="169"/>
      <c r="AG400" s="169"/>
      <c r="AH400" s="169"/>
    </row>
    <row r="401" ht="15.75" customHeight="1">
      <c r="A401" s="169"/>
      <c r="B401" s="38" t="s">
        <v>2311</v>
      </c>
      <c r="C401" s="191" t="s">
        <v>3883</v>
      </c>
      <c r="D401" s="40" t="s">
        <v>3881</v>
      </c>
      <c r="E401" s="40"/>
      <c r="F401" s="40"/>
      <c r="G401" s="39"/>
      <c r="H401" s="119" t="s">
        <v>3884</v>
      </c>
      <c r="I401" s="188">
        <v>44586.0</v>
      </c>
      <c r="J401" s="188">
        <v>44651.0</v>
      </c>
      <c r="K401" s="189">
        <v>3180.0</v>
      </c>
      <c r="L401" s="19"/>
      <c r="M401" s="192" t="s">
        <v>2893</v>
      </c>
      <c r="N401" s="42"/>
      <c r="O401" s="169"/>
      <c r="P401" s="169"/>
      <c r="Q401" s="169"/>
      <c r="R401" s="169"/>
      <c r="S401" s="169"/>
      <c r="T401" s="169"/>
      <c r="U401" s="169"/>
      <c r="V401" s="169"/>
      <c r="W401" s="169"/>
      <c r="X401" s="169"/>
      <c r="Y401" s="169"/>
      <c r="Z401" s="169"/>
      <c r="AA401" s="169"/>
      <c r="AB401" s="169"/>
      <c r="AC401" s="169"/>
      <c r="AD401" s="169"/>
      <c r="AE401" s="169"/>
      <c r="AF401" s="169"/>
      <c r="AG401" s="169"/>
      <c r="AH401" s="169"/>
    </row>
    <row r="402" ht="15.75" customHeight="1">
      <c r="A402" s="169"/>
      <c r="B402" s="38" t="s">
        <v>2311</v>
      </c>
      <c r="C402" s="191" t="s">
        <v>3885</v>
      </c>
      <c r="D402" s="39" t="s">
        <v>3886</v>
      </c>
      <c r="E402" s="40"/>
      <c r="F402" s="40"/>
      <c r="G402" s="39"/>
      <c r="H402" s="119" t="s">
        <v>3887</v>
      </c>
      <c r="I402" s="188">
        <v>44400.0</v>
      </c>
      <c r="J402" s="188">
        <v>44465.0</v>
      </c>
      <c r="K402" s="189">
        <v>1334.0</v>
      </c>
      <c r="L402" s="19"/>
      <c r="M402" s="192" t="s">
        <v>2893</v>
      </c>
      <c r="N402" s="42"/>
      <c r="O402" s="169"/>
      <c r="P402" s="169"/>
      <c r="Q402" s="169"/>
      <c r="R402" s="169"/>
      <c r="S402" s="169"/>
      <c r="T402" s="169"/>
      <c r="U402" s="169"/>
      <c r="V402" s="169"/>
      <c r="W402" s="169"/>
      <c r="X402" s="169"/>
      <c r="Y402" s="169"/>
      <c r="Z402" s="169"/>
      <c r="AA402" s="169"/>
      <c r="AB402" s="169"/>
      <c r="AC402" s="169"/>
      <c r="AD402" s="169"/>
      <c r="AE402" s="169"/>
      <c r="AF402" s="169"/>
      <c r="AG402" s="169"/>
      <c r="AH402" s="169"/>
    </row>
    <row r="403" ht="15.75" customHeight="1">
      <c r="A403" s="169"/>
      <c r="B403" s="38" t="s">
        <v>118</v>
      </c>
      <c r="C403" s="191" t="s">
        <v>3888</v>
      </c>
      <c r="D403" s="40" t="s">
        <v>3889</v>
      </c>
      <c r="E403" s="40" t="s">
        <v>3890</v>
      </c>
      <c r="F403" s="40" t="s">
        <v>623</v>
      </c>
      <c r="G403" s="39" t="s">
        <v>192</v>
      </c>
      <c r="H403" s="119" t="s">
        <v>3891</v>
      </c>
      <c r="I403" s="188">
        <v>44404.0</v>
      </c>
      <c r="J403" s="188">
        <v>44469.0</v>
      </c>
      <c r="K403" s="189">
        <v>862.0</v>
      </c>
      <c r="L403" s="19"/>
      <c r="M403" s="192" t="s">
        <v>2893</v>
      </c>
      <c r="N403" s="42"/>
      <c r="O403" s="169"/>
      <c r="P403" s="169"/>
      <c r="Q403" s="169"/>
      <c r="R403" s="169"/>
      <c r="S403" s="169"/>
      <c r="T403" s="169"/>
      <c r="U403" s="169"/>
      <c r="V403" s="169"/>
      <c r="W403" s="169"/>
      <c r="X403" s="169"/>
      <c r="Y403" s="169"/>
      <c r="Z403" s="169"/>
      <c r="AA403" s="169"/>
      <c r="AB403" s="169"/>
      <c r="AC403" s="169"/>
      <c r="AD403" s="169"/>
      <c r="AE403" s="169"/>
      <c r="AF403" s="169"/>
      <c r="AG403" s="169"/>
      <c r="AH403" s="169"/>
    </row>
    <row r="404" ht="15.75" customHeight="1">
      <c r="A404" s="169"/>
      <c r="B404" s="38" t="s">
        <v>118</v>
      </c>
      <c r="C404" s="191" t="s">
        <v>3892</v>
      </c>
      <c r="D404" s="40" t="s">
        <v>3893</v>
      </c>
      <c r="E404" s="40" t="s">
        <v>3890</v>
      </c>
      <c r="F404" s="40" t="s">
        <v>623</v>
      </c>
      <c r="G404" s="39" t="s">
        <v>192</v>
      </c>
      <c r="H404" s="42" t="s">
        <v>3894</v>
      </c>
      <c r="I404" s="188">
        <v>44404.0</v>
      </c>
      <c r="J404" s="188">
        <v>44469.0</v>
      </c>
      <c r="K404" s="189">
        <v>1044.0</v>
      </c>
      <c r="L404" s="19"/>
      <c r="M404" s="192" t="s">
        <v>2893</v>
      </c>
      <c r="N404" s="42"/>
      <c r="O404" s="169"/>
      <c r="P404" s="169"/>
      <c r="Q404" s="169"/>
      <c r="R404" s="169"/>
      <c r="S404" s="169"/>
      <c r="T404" s="169"/>
      <c r="U404" s="169"/>
      <c r="V404" s="169"/>
      <c r="W404" s="169"/>
      <c r="X404" s="169"/>
      <c r="Y404" s="169"/>
      <c r="Z404" s="169"/>
      <c r="AA404" s="169"/>
      <c r="AB404" s="169"/>
      <c r="AC404" s="169"/>
      <c r="AD404" s="169"/>
      <c r="AE404" s="169"/>
      <c r="AF404" s="169"/>
      <c r="AG404" s="169"/>
      <c r="AH404" s="169"/>
    </row>
    <row r="405" ht="15.75" customHeight="1">
      <c r="A405" s="169"/>
      <c r="B405" s="38" t="s">
        <v>118</v>
      </c>
      <c r="C405" s="191" t="s">
        <v>3895</v>
      </c>
      <c r="D405" s="40" t="s">
        <v>3896</v>
      </c>
      <c r="E405" s="40" t="s">
        <v>3890</v>
      </c>
      <c r="F405" s="40" t="s">
        <v>623</v>
      </c>
      <c r="G405" s="39" t="s">
        <v>192</v>
      </c>
      <c r="H405" s="42" t="s">
        <v>3897</v>
      </c>
      <c r="I405" s="188">
        <v>44404.0</v>
      </c>
      <c r="J405" s="188">
        <v>44469.0</v>
      </c>
      <c r="K405" s="189">
        <v>1606.0</v>
      </c>
      <c r="L405" s="19"/>
      <c r="M405" s="192" t="s">
        <v>2893</v>
      </c>
      <c r="N405" s="42"/>
      <c r="O405" s="169"/>
      <c r="P405" s="169"/>
      <c r="Q405" s="169"/>
      <c r="R405" s="169"/>
      <c r="S405" s="169"/>
      <c r="T405" s="169"/>
      <c r="U405" s="169"/>
      <c r="V405" s="169"/>
      <c r="W405" s="169"/>
      <c r="X405" s="169"/>
      <c r="Y405" s="169"/>
      <c r="Z405" s="169"/>
      <c r="AA405" s="169"/>
      <c r="AB405" s="169"/>
      <c r="AC405" s="169"/>
      <c r="AD405" s="169"/>
      <c r="AE405" s="169"/>
      <c r="AF405" s="169"/>
      <c r="AG405" s="169"/>
      <c r="AH405" s="169"/>
    </row>
    <row r="406" ht="15.75" customHeight="1">
      <c r="A406" s="169"/>
      <c r="B406" s="38" t="s">
        <v>118</v>
      </c>
      <c r="C406" s="191" t="s">
        <v>3898</v>
      </c>
      <c r="D406" s="40" t="s">
        <v>719</v>
      </c>
      <c r="E406" s="40" t="s">
        <v>3890</v>
      </c>
      <c r="F406" s="40" t="s">
        <v>623</v>
      </c>
      <c r="G406" s="39" t="s">
        <v>18</v>
      </c>
      <c r="H406" s="110" t="s">
        <v>3899</v>
      </c>
      <c r="I406" s="188">
        <v>44708.0</v>
      </c>
      <c r="J406" s="188">
        <v>44773.0</v>
      </c>
      <c r="K406" s="189">
        <v>1334.0</v>
      </c>
      <c r="L406" s="19"/>
      <c r="M406" s="192" t="s">
        <v>2893</v>
      </c>
      <c r="N406" s="42"/>
      <c r="O406" s="169"/>
      <c r="P406" s="169"/>
      <c r="Q406" s="169"/>
      <c r="R406" s="169"/>
      <c r="S406" s="169"/>
      <c r="T406" s="169"/>
      <c r="U406" s="169"/>
      <c r="V406" s="169"/>
      <c r="W406" s="169"/>
      <c r="X406" s="169"/>
      <c r="Y406" s="169"/>
      <c r="Z406" s="169"/>
      <c r="AA406" s="169"/>
      <c r="AB406" s="169"/>
      <c r="AC406" s="169"/>
      <c r="AD406" s="169"/>
      <c r="AE406" s="169"/>
      <c r="AF406" s="169"/>
      <c r="AG406" s="169"/>
      <c r="AH406" s="169"/>
    </row>
    <row r="407" ht="15.75" customHeight="1">
      <c r="A407" s="169"/>
      <c r="B407" s="38" t="s">
        <v>2119</v>
      </c>
      <c r="C407" s="191" t="s">
        <v>3900</v>
      </c>
      <c r="D407" s="39" t="s">
        <v>3901</v>
      </c>
      <c r="E407" s="40" t="s">
        <v>3890</v>
      </c>
      <c r="F407" s="40" t="s">
        <v>623</v>
      </c>
      <c r="G407" s="39" t="s">
        <v>18</v>
      </c>
      <c r="H407" s="42" t="s">
        <v>3902</v>
      </c>
      <c r="I407" s="188">
        <v>44773.0</v>
      </c>
      <c r="J407" s="188">
        <v>44865.0</v>
      </c>
      <c r="K407" s="189">
        <v>2040.0</v>
      </c>
      <c r="L407" s="19"/>
      <c r="M407" s="192" t="s">
        <v>2893</v>
      </c>
      <c r="N407" s="110"/>
      <c r="O407" s="169"/>
      <c r="P407" s="169"/>
      <c r="Q407" s="169"/>
      <c r="R407" s="169"/>
      <c r="S407" s="169"/>
      <c r="T407" s="169"/>
      <c r="U407" s="169"/>
      <c r="V407" s="169"/>
      <c r="W407" s="169"/>
      <c r="X407" s="169"/>
      <c r="Y407" s="169"/>
      <c r="Z407" s="169"/>
      <c r="AA407" s="169"/>
      <c r="AB407" s="169"/>
      <c r="AC407" s="169"/>
      <c r="AD407" s="169"/>
      <c r="AE407" s="169"/>
      <c r="AF407" s="169"/>
      <c r="AG407" s="169"/>
      <c r="AH407" s="169"/>
    </row>
    <row r="408" ht="15.75" customHeight="1">
      <c r="A408" s="169"/>
      <c r="B408" s="38" t="s">
        <v>2311</v>
      </c>
      <c r="C408" s="191" t="s">
        <v>3903</v>
      </c>
      <c r="D408" s="40" t="s">
        <v>3904</v>
      </c>
      <c r="E408" s="40" t="s">
        <v>3904</v>
      </c>
      <c r="F408" s="40"/>
      <c r="G408" s="39"/>
      <c r="H408" s="42" t="s">
        <v>3905</v>
      </c>
      <c r="I408" s="188">
        <v>44586.0</v>
      </c>
      <c r="J408" s="188">
        <v>44651.0</v>
      </c>
      <c r="K408" s="189">
        <v>1970.0</v>
      </c>
      <c r="L408" s="19"/>
      <c r="M408" s="192" t="s">
        <v>2893</v>
      </c>
      <c r="N408" s="42"/>
      <c r="O408" s="169"/>
      <c r="P408" s="169"/>
      <c r="Q408" s="169"/>
      <c r="R408" s="169"/>
      <c r="S408" s="169"/>
      <c r="T408" s="169"/>
      <c r="U408" s="169"/>
      <c r="V408" s="169"/>
      <c r="W408" s="169"/>
      <c r="X408" s="169"/>
      <c r="Y408" s="169"/>
      <c r="Z408" s="169"/>
      <c r="AA408" s="169"/>
      <c r="AB408" s="169"/>
      <c r="AC408" s="169"/>
      <c r="AD408" s="169"/>
      <c r="AE408" s="169"/>
      <c r="AF408" s="169"/>
      <c r="AG408" s="169"/>
      <c r="AH408" s="169"/>
    </row>
    <row r="409" ht="15.75" customHeight="1">
      <c r="A409" s="169"/>
      <c r="B409" s="38" t="s">
        <v>3699</v>
      </c>
      <c r="C409" s="191" t="s">
        <v>3906</v>
      </c>
      <c r="D409" s="40" t="s">
        <v>3907</v>
      </c>
      <c r="E409" s="40"/>
      <c r="F409" s="40"/>
      <c r="G409" s="39"/>
      <c r="H409" s="42" t="s">
        <v>3908</v>
      </c>
      <c r="I409" s="188">
        <v>44219.0</v>
      </c>
      <c r="J409" s="188">
        <v>44284.0</v>
      </c>
      <c r="K409" s="189">
        <v>2997.0</v>
      </c>
      <c r="L409" s="19"/>
      <c r="M409" s="192" t="s">
        <v>2893</v>
      </c>
      <c r="N409" s="193"/>
      <c r="O409" s="169"/>
      <c r="P409" s="169"/>
      <c r="Q409" s="169"/>
      <c r="R409" s="169"/>
      <c r="S409" s="169"/>
      <c r="T409" s="169"/>
      <c r="U409" s="169"/>
      <c r="V409" s="169"/>
      <c r="W409" s="169"/>
      <c r="X409" s="169"/>
      <c r="Y409" s="169"/>
      <c r="Z409" s="169"/>
      <c r="AA409" s="169"/>
      <c r="AB409" s="169"/>
      <c r="AC409" s="169"/>
      <c r="AD409" s="169"/>
      <c r="AE409" s="169"/>
      <c r="AF409" s="169"/>
      <c r="AG409" s="169"/>
      <c r="AH409" s="169"/>
    </row>
    <row r="410" ht="15.75" customHeight="1">
      <c r="A410" s="169"/>
      <c r="B410" s="38" t="s">
        <v>2311</v>
      </c>
      <c r="C410" s="191" t="s">
        <v>3909</v>
      </c>
      <c r="D410" s="40" t="s">
        <v>3910</v>
      </c>
      <c r="E410" s="40"/>
      <c r="F410" s="40"/>
      <c r="G410" s="39"/>
      <c r="H410" s="42" t="s">
        <v>3911</v>
      </c>
      <c r="I410" s="188">
        <v>43961.0</v>
      </c>
      <c r="J410" s="188">
        <v>44026.0</v>
      </c>
      <c r="K410" s="189">
        <v>2125.0</v>
      </c>
      <c r="L410" s="19"/>
      <c r="M410" s="192" t="s">
        <v>2893</v>
      </c>
      <c r="N410" s="42"/>
      <c r="O410" s="169"/>
      <c r="P410" s="169"/>
      <c r="Q410" s="169"/>
      <c r="R410" s="169"/>
      <c r="S410" s="169"/>
      <c r="T410" s="169"/>
      <c r="U410" s="169"/>
      <c r="V410" s="169"/>
      <c r="W410" s="169"/>
      <c r="X410" s="169"/>
      <c r="Y410" s="169"/>
      <c r="Z410" s="169"/>
      <c r="AA410" s="169"/>
      <c r="AB410" s="169"/>
      <c r="AC410" s="169"/>
      <c r="AD410" s="169"/>
      <c r="AE410" s="169"/>
      <c r="AF410" s="169"/>
      <c r="AG410" s="169"/>
      <c r="AH410" s="169"/>
    </row>
    <row r="411" ht="15.75" customHeight="1">
      <c r="A411" s="169"/>
      <c r="B411" s="38" t="s">
        <v>2311</v>
      </c>
      <c r="C411" s="191" t="s">
        <v>3912</v>
      </c>
      <c r="D411" s="40" t="s">
        <v>3913</v>
      </c>
      <c r="E411" s="40"/>
      <c r="F411" s="40"/>
      <c r="G411" s="39"/>
      <c r="H411" s="42" t="s">
        <v>3914</v>
      </c>
      <c r="I411" s="188">
        <v>44586.0</v>
      </c>
      <c r="J411" s="188">
        <v>44651.0</v>
      </c>
      <c r="K411" s="189">
        <v>2100.0</v>
      </c>
      <c r="L411" s="19"/>
      <c r="M411" s="192" t="s">
        <v>2893</v>
      </c>
      <c r="N411" s="42"/>
      <c r="O411" s="169"/>
      <c r="P411" s="169"/>
      <c r="Q411" s="169"/>
      <c r="R411" s="169"/>
      <c r="S411" s="169"/>
      <c r="T411" s="169"/>
      <c r="U411" s="169"/>
      <c r="V411" s="169"/>
      <c r="W411" s="169"/>
      <c r="X411" s="169"/>
      <c r="Y411" s="169"/>
      <c r="Z411" s="169"/>
      <c r="AA411" s="169"/>
      <c r="AB411" s="169"/>
      <c r="AC411" s="169"/>
      <c r="AD411" s="169"/>
      <c r="AE411" s="169"/>
      <c r="AF411" s="169"/>
      <c r="AG411" s="169"/>
      <c r="AH411" s="169"/>
    </row>
    <row r="412" ht="15.75" customHeight="1">
      <c r="A412" s="169"/>
      <c r="B412" s="38" t="s">
        <v>2311</v>
      </c>
      <c r="C412" s="191" t="s">
        <v>3915</v>
      </c>
      <c r="D412" s="40" t="s">
        <v>3916</v>
      </c>
      <c r="E412" s="40"/>
      <c r="F412" s="40"/>
      <c r="G412" s="39"/>
      <c r="H412" s="42" t="s">
        <v>3917</v>
      </c>
      <c r="I412" s="188">
        <v>44586.0</v>
      </c>
      <c r="J412" s="188">
        <v>44651.0</v>
      </c>
      <c r="K412" s="189">
        <v>3540.0</v>
      </c>
      <c r="L412" s="19"/>
      <c r="M412" s="192" t="s">
        <v>2893</v>
      </c>
      <c r="N412" s="42"/>
      <c r="O412" s="169"/>
      <c r="P412" s="169"/>
      <c r="Q412" s="169"/>
      <c r="R412" s="169"/>
      <c r="S412" s="169"/>
      <c r="T412" s="169"/>
      <c r="U412" s="169"/>
      <c r="V412" s="169"/>
      <c r="W412" s="169"/>
      <c r="X412" s="169"/>
      <c r="Y412" s="169"/>
      <c r="Z412" s="169"/>
      <c r="AA412" s="169"/>
      <c r="AB412" s="169"/>
      <c r="AC412" s="169"/>
      <c r="AD412" s="169"/>
      <c r="AE412" s="169"/>
      <c r="AF412" s="169"/>
      <c r="AG412" s="169"/>
      <c r="AH412" s="169"/>
    </row>
    <row r="413" ht="15.75" customHeight="1">
      <c r="A413" s="169"/>
      <c r="B413" s="38" t="s">
        <v>2311</v>
      </c>
      <c r="C413" s="191" t="s">
        <v>3918</v>
      </c>
      <c r="D413" s="40" t="s">
        <v>3910</v>
      </c>
      <c r="E413" s="40"/>
      <c r="F413" s="40"/>
      <c r="G413" s="39"/>
      <c r="H413" s="42" t="s">
        <v>3919</v>
      </c>
      <c r="I413" s="188">
        <v>44586.0</v>
      </c>
      <c r="J413" s="188">
        <v>44651.0</v>
      </c>
      <c r="K413" s="189">
        <v>2100.0</v>
      </c>
      <c r="L413" s="19"/>
      <c r="M413" s="192" t="s">
        <v>2893</v>
      </c>
      <c r="N413" s="42"/>
      <c r="O413" s="169"/>
      <c r="P413" s="169"/>
      <c r="Q413" s="169"/>
      <c r="R413" s="169"/>
      <c r="S413" s="169"/>
      <c r="T413" s="169"/>
      <c r="U413" s="169"/>
      <c r="V413" s="169"/>
      <c r="W413" s="169"/>
      <c r="X413" s="169"/>
      <c r="Y413" s="169"/>
      <c r="Z413" s="169"/>
      <c r="AA413" s="169"/>
      <c r="AB413" s="169"/>
      <c r="AC413" s="169"/>
      <c r="AD413" s="169"/>
      <c r="AE413" s="169"/>
      <c r="AF413" s="169"/>
      <c r="AG413" s="169"/>
      <c r="AH413" s="169"/>
    </row>
    <row r="414" ht="15.75" customHeight="1">
      <c r="A414" s="169"/>
      <c r="B414" s="38" t="s">
        <v>2311</v>
      </c>
      <c r="C414" s="191" t="s">
        <v>3920</v>
      </c>
      <c r="D414" s="40" t="s">
        <v>3904</v>
      </c>
      <c r="E414" s="40"/>
      <c r="F414" s="40"/>
      <c r="G414" s="39"/>
      <c r="H414" s="150" t="s">
        <v>3921</v>
      </c>
      <c r="I414" s="188">
        <v>44586.0</v>
      </c>
      <c r="J414" s="188">
        <v>44651.0</v>
      </c>
      <c r="K414" s="189">
        <v>2360.0</v>
      </c>
      <c r="L414" s="19"/>
      <c r="M414" s="192" t="s">
        <v>2893</v>
      </c>
      <c r="N414" s="42"/>
      <c r="O414" s="169"/>
      <c r="P414" s="169"/>
      <c r="Q414" s="169"/>
      <c r="R414" s="169"/>
      <c r="S414" s="169"/>
      <c r="T414" s="169"/>
      <c r="U414" s="169"/>
      <c r="V414" s="169"/>
      <c r="W414" s="169"/>
      <c r="X414" s="169"/>
      <c r="Y414" s="169"/>
      <c r="Z414" s="169"/>
      <c r="AA414" s="169"/>
      <c r="AB414" s="169"/>
      <c r="AC414" s="169"/>
      <c r="AD414" s="169"/>
      <c r="AE414" s="169"/>
      <c r="AF414" s="169"/>
      <c r="AG414" s="169"/>
      <c r="AH414" s="169"/>
    </row>
    <row r="415" ht="15.75" customHeight="1">
      <c r="A415" s="169"/>
      <c r="B415" s="38" t="s">
        <v>2311</v>
      </c>
      <c r="C415" s="191" t="s">
        <v>3922</v>
      </c>
      <c r="D415" s="40" t="s">
        <v>3923</v>
      </c>
      <c r="E415" s="40"/>
      <c r="F415" s="40"/>
      <c r="G415" s="39"/>
      <c r="H415" s="42" t="s">
        <v>3924</v>
      </c>
      <c r="I415" s="188">
        <v>44181.0</v>
      </c>
      <c r="J415" s="188">
        <v>44246.0</v>
      </c>
      <c r="K415" s="189">
        <v>1455.78</v>
      </c>
      <c r="L415" s="19"/>
      <c r="M415" s="192" t="s">
        <v>3925</v>
      </c>
      <c r="N415" s="42" t="s">
        <v>3924</v>
      </c>
      <c r="O415" s="169"/>
      <c r="P415" s="169"/>
      <c r="Q415" s="169"/>
      <c r="R415" s="169"/>
      <c r="S415" s="169"/>
      <c r="T415" s="169"/>
      <c r="U415" s="169"/>
      <c r="V415" s="169"/>
      <c r="W415" s="169"/>
      <c r="X415" s="169"/>
      <c r="Y415" s="169"/>
      <c r="Z415" s="169"/>
      <c r="AA415" s="169"/>
      <c r="AB415" s="169"/>
      <c r="AC415" s="169"/>
      <c r="AD415" s="169"/>
      <c r="AE415" s="169"/>
      <c r="AF415" s="169"/>
      <c r="AG415" s="169"/>
      <c r="AH415" s="169"/>
    </row>
    <row r="416" ht="15.75" customHeight="1">
      <c r="A416" s="169"/>
      <c r="B416" s="38" t="s">
        <v>2311</v>
      </c>
      <c r="C416" s="191" t="s">
        <v>3926</v>
      </c>
      <c r="D416" s="40" t="s">
        <v>3901</v>
      </c>
      <c r="E416" s="40"/>
      <c r="F416" s="40"/>
      <c r="G416" s="39"/>
      <c r="H416" s="119" t="s">
        <v>3927</v>
      </c>
      <c r="I416" s="188">
        <v>44181.0</v>
      </c>
      <c r="J416" s="188">
        <v>44246.0</v>
      </c>
      <c r="K416" s="189">
        <v>1853.0</v>
      </c>
      <c r="L416" s="19"/>
      <c r="M416" s="192" t="s">
        <v>3928</v>
      </c>
      <c r="N416" s="42"/>
      <c r="O416" s="169"/>
      <c r="P416" s="169"/>
      <c r="Q416" s="169"/>
      <c r="R416" s="169"/>
      <c r="S416" s="169"/>
      <c r="T416" s="169"/>
      <c r="U416" s="169"/>
      <c r="V416" s="169"/>
      <c r="W416" s="169"/>
      <c r="X416" s="169"/>
      <c r="Y416" s="169"/>
      <c r="Z416" s="169"/>
      <c r="AA416" s="169"/>
      <c r="AB416" s="169"/>
      <c r="AC416" s="169"/>
      <c r="AD416" s="169"/>
      <c r="AE416" s="169"/>
      <c r="AF416" s="169"/>
      <c r="AG416" s="169"/>
      <c r="AH416" s="169"/>
    </row>
    <row r="417" ht="15.75" customHeight="1">
      <c r="A417" s="169"/>
      <c r="B417" s="38" t="s">
        <v>2119</v>
      </c>
      <c r="C417" s="191" t="s">
        <v>3928</v>
      </c>
      <c r="D417" s="39" t="s">
        <v>3901</v>
      </c>
      <c r="E417" s="40" t="s">
        <v>3890</v>
      </c>
      <c r="F417" s="40" t="s">
        <v>623</v>
      </c>
      <c r="G417" s="39" t="s">
        <v>18</v>
      </c>
      <c r="H417" s="42" t="s">
        <v>3927</v>
      </c>
      <c r="I417" s="188">
        <v>44773.0</v>
      </c>
      <c r="J417" s="188">
        <v>44865.0</v>
      </c>
      <c r="K417" s="189">
        <v>1853.0</v>
      </c>
      <c r="L417" s="19"/>
      <c r="M417" s="192" t="s">
        <v>2893</v>
      </c>
      <c r="N417" s="110" t="s">
        <v>2941</v>
      </c>
      <c r="O417" s="169"/>
      <c r="P417" s="169"/>
      <c r="Q417" s="169"/>
      <c r="R417" s="169"/>
      <c r="S417" s="169"/>
      <c r="T417" s="169"/>
      <c r="U417" s="169"/>
      <c r="V417" s="169"/>
      <c r="W417" s="169"/>
      <c r="X417" s="169"/>
      <c r="Y417" s="169"/>
      <c r="Z417" s="169"/>
      <c r="AA417" s="169"/>
      <c r="AB417" s="169"/>
      <c r="AC417" s="169"/>
      <c r="AD417" s="169"/>
      <c r="AE417" s="169"/>
      <c r="AF417" s="169"/>
      <c r="AG417" s="169"/>
      <c r="AH417" s="169"/>
    </row>
    <row r="418" ht="15.75" customHeight="1">
      <c r="A418" s="169"/>
      <c r="B418" s="38" t="s">
        <v>118</v>
      </c>
      <c r="C418" s="191" t="s">
        <v>3646</v>
      </c>
      <c r="D418" s="40" t="s">
        <v>3929</v>
      </c>
      <c r="E418" s="40" t="s">
        <v>3890</v>
      </c>
      <c r="F418" s="40" t="s">
        <v>623</v>
      </c>
      <c r="G418" s="40" t="s">
        <v>213</v>
      </c>
      <c r="H418" s="42" t="s">
        <v>3647</v>
      </c>
      <c r="I418" s="188">
        <v>44539.0</v>
      </c>
      <c r="J418" s="188">
        <v>45322.0</v>
      </c>
      <c r="K418" s="189">
        <v>3082.0</v>
      </c>
      <c r="L418" s="19"/>
      <c r="M418" s="192" t="s">
        <v>781</v>
      </c>
      <c r="N418" s="119" t="s">
        <v>783</v>
      </c>
      <c r="O418" s="169"/>
      <c r="P418" s="169"/>
      <c r="Q418" s="169"/>
      <c r="R418" s="169"/>
      <c r="S418" s="169"/>
      <c r="T418" s="169"/>
      <c r="U418" s="169"/>
      <c r="V418" s="169"/>
      <c r="W418" s="169"/>
      <c r="X418" s="169"/>
      <c r="Y418" s="169"/>
      <c r="Z418" s="169"/>
      <c r="AA418" s="169"/>
      <c r="AB418" s="169"/>
      <c r="AC418" s="169"/>
      <c r="AD418" s="169"/>
      <c r="AE418" s="169"/>
      <c r="AF418" s="169"/>
      <c r="AG418" s="169"/>
      <c r="AH418" s="169"/>
    </row>
    <row r="419" ht="15.75" customHeight="1">
      <c r="A419" s="169"/>
      <c r="B419" s="38" t="s">
        <v>118</v>
      </c>
      <c r="C419" s="191" t="s">
        <v>3650</v>
      </c>
      <c r="D419" s="40" t="s">
        <v>3929</v>
      </c>
      <c r="E419" s="40" t="s">
        <v>3890</v>
      </c>
      <c r="F419" s="40" t="s">
        <v>623</v>
      </c>
      <c r="G419" s="40" t="s">
        <v>213</v>
      </c>
      <c r="H419" s="42" t="s">
        <v>3651</v>
      </c>
      <c r="I419" s="188">
        <v>44539.0</v>
      </c>
      <c r="J419" s="188">
        <v>45473.0</v>
      </c>
      <c r="K419" s="189">
        <v>3274.0</v>
      </c>
      <c r="L419" s="19"/>
      <c r="M419" s="190" t="s">
        <v>781</v>
      </c>
      <c r="N419" s="119" t="s">
        <v>783</v>
      </c>
      <c r="O419" s="169"/>
      <c r="P419" s="169"/>
      <c r="Q419" s="169"/>
      <c r="R419" s="169"/>
      <c r="S419" s="169"/>
      <c r="T419" s="169"/>
      <c r="U419" s="169"/>
      <c r="V419" s="169"/>
      <c r="W419" s="169"/>
      <c r="X419" s="169"/>
      <c r="Y419" s="169"/>
      <c r="Z419" s="169"/>
      <c r="AA419" s="169"/>
      <c r="AB419" s="169"/>
      <c r="AC419" s="169"/>
      <c r="AD419" s="169"/>
      <c r="AE419" s="169"/>
      <c r="AF419" s="169"/>
      <c r="AG419" s="169"/>
      <c r="AH419" s="169"/>
    </row>
    <row r="420" ht="15.75" customHeight="1">
      <c r="A420" s="169"/>
      <c r="B420" s="38" t="s">
        <v>118</v>
      </c>
      <c r="C420" s="191" t="s">
        <v>3930</v>
      </c>
      <c r="D420" s="40" t="s">
        <v>864</v>
      </c>
      <c r="E420" s="40" t="s">
        <v>3890</v>
      </c>
      <c r="F420" s="40" t="s">
        <v>623</v>
      </c>
      <c r="G420" s="40" t="s">
        <v>213</v>
      </c>
      <c r="H420" s="42" t="s">
        <v>3931</v>
      </c>
      <c r="I420" s="188">
        <v>44708.0</v>
      </c>
      <c r="J420" s="188">
        <v>44773.0</v>
      </c>
      <c r="K420" s="189">
        <v>6000.0</v>
      </c>
      <c r="L420" s="19"/>
      <c r="M420" s="190" t="s">
        <v>863</v>
      </c>
      <c r="N420" s="119" t="s">
        <v>3932</v>
      </c>
      <c r="O420" s="169"/>
      <c r="P420" s="169"/>
      <c r="Q420" s="169"/>
      <c r="R420" s="169"/>
      <c r="S420" s="169"/>
      <c r="T420" s="169"/>
      <c r="U420" s="169"/>
      <c r="V420" s="169"/>
      <c r="W420" s="169"/>
      <c r="X420" s="169"/>
      <c r="Y420" s="169"/>
      <c r="Z420" s="169"/>
      <c r="AA420" s="169"/>
      <c r="AB420" s="169"/>
      <c r="AC420" s="169"/>
      <c r="AD420" s="169"/>
      <c r="AE420" s="169"/>
      <c r="AF420" s="169"/>
      <c r="AG420" s="169"/>
      <c r="AH420" s="169"/>
    </row>
    <row r="421" ht="15.75" customHeight="1">
      <c r="A421" s="169"/>
      <c r="B421" s="38" t="s">
        <v>118</v>
      </c>
      <c r="C421" s="191" t="s">
        <v>3655</v>
      </c>
      <c r="D421" s="40" t="s">
        <v>3933</v>
      </c>
      <c r="E421" s="40" t="s">
        <v>3890</v>
      </c>
      <c r="F421" s="40" t="s">
        <v>623</v>
      </c>
      <c r="G421" s="40" t="s">
        <v>213</v>
      </c>
      <c r="H421" s="42" t="s">
        <v>3934</v>
      </c>
      <c r="I421" s="188">
        <v>44614.0</v>
      </c>
      <c r="J421" s="188">
        <v>44679.0</v>
      </c>
      <c r="K421" s="189">
        <v>3902.0</v>
      </c>
      <c r="L421" s="19"/>
      <c r="M421" s="190" t="s">
        <v>3935</v>
      </c>
      <c r="N421" s="42" t="s">
        <v>3936</v>
      </c>
      <c r="O421" s="169"/>
      <c r="P421" s="169"/>
      <c r="Q421" s="169"/>
      <c r="R421" s="169"/>
      <c r="S421" s="169"/>
      <c r="T421" s="169"/>
      <c r="U421" s="169"/>
      <c r="V421" s="169"/>
      <c r="W421" s="169"/>
      <c r="X421" s="169"/>
      <c r="Y421" s="169"/>
      <c r="Z421" s="169"/>
      <c r="AA421" s="169"/>
      <c r="AB421" s="169"/>
      <c r="AC421" s="169"/>
      <c r="AD421" s="169"/>
      <c r="AE421" s="169"/>
      <c r="AF421" s="169"/>
      <c r="AG421" s="169"/>
      <c r="AH421" s="169"/>
    </row>
    <row r="422" ht="15.75" customHeight="1">
      <c r="A422" s="169"/>
      <c r="B422" s="38" t="s">
        <v>118</v>
      </c>
      <c r="C422" s="191" t="s">
        <v>3658</v>
      </c>
      <c r="D422" s="40" t="s">
        <v>3929</v>
      </c>
      <c r="E422" s="40" t="s">
        <v>3890</v>
      </c>
      <c r="F422" s="40" t="s">
        <v>623</v>
      </c>
      <c r="G422" s="40" t="s">
        <v>213</v>
      </c>
      <c r="H422" s="42" t="s">
        <v>3659</v>
      </c>
      <c r="I422" s="188">
        <v>44981.0</v>
      </c>
      <c r="J422" s="188">
        <v>45046.0</v>
      </c>
      <c r="K422" s="189">
        <v>2466.0</v>
      </c>
      <c r="L422" s="19"/>
      <c r="M422" s="192" t="s">
        <v>781</v>
      </c>
      <c r="N422" s="119" t="s">
        <v>783</v>
      </c>
      <c r="O422" s="169"/>
      <c r="P422" s="169"/>
      <c r="Q422" s="169"/>
      <c r="R422" s="169"/>
      <c r="S422" s="169"/>
      <c r="T422" s="169"/>
      <c r="U422" s="169"/>
      <c r="V422" s="169"/>
      <c r="W422" s="169"/>
      <c r="X422" s="169"/>
      <c r="Y422" s="169"/>
      <c r="Z422" s="169"/>
      <c r="AA422" s="169"/>
      <c r="AB422" s="169"/>
      <c r="AC422" s="169"/>
      <c r="AD422" s="169"/>
      <c r="AE422" s="169"/>
      <c r="AF422" s="169"/>
      <c r="AG422" s="169"/>
      <c r="AH422" s="169"/>
    </row>
    <row r="423" ht="15.75" customHeight="1">
      <c r="A423" s="169"/>
      <c r="B423" s="38" t="s">
        <v>118</v>
      </c>
      <c r="C423" s="191" t="s">
        <v>3662</v>
      </c>
      <c r="D423" s="40" t="s">
        <v>3937</v>
      </c>
      <c r="E423" s="40" t="s">
        <v>3890</v>
      </c>
      <c r="F423" s="40" t="s">
        <v>623</v>
      </c>
      <c r="G423" s="40" t="s">
        <v>213</v>
      </c>
      <c r="H423" s="42" t="s">
        <v>3663</v>
      </c>
      <c r="I423" s="188">
        <v>44981.0</v>
      </c>
      <c r="J423" s="188">
        <v>45046.0</v>
      </c>
      <c r="K423" s="189">
        <v>2620.0</v>
      </c>
      <c r="L423" s="19"/>
      <c r="M423" s="190" t="s">
        <v>781</v>
      </c>
      <c r="N423" s="119" t="s">
        <v>783</v>
      </c>
      <c r="O423" s="169"/>
      <c r="P423" s="169"/>
      <c r="Q423" s="169"/>
      <c r="R423" s="169"/>
      <c r="S423" s="169"/>
      <c r="T423" s="169"/>
      <c r="U423" s="169"/>
      <c r="V423" s="169"/>
      <c r="W423" s="169"/>
      <c r="X423" s="169"/>
      <c r="Y423" s="169"/>
      <c r="Z423" s="169"/>
      <c r="AA423" s="169"/>
      <c r="AB423" s="169"/>
      <c r="AC423" s="169"/>
      <c r="AD423" s="169"/>
      <c r="AE423" s="169"/>
      <c r="AF423" s="169"/>
      <c r="AG423" s="169"/>
      <c r="AH423" s="169"/>
    </row>
    <row r="424" ht="15.75" customHeight="1">
      <c r="A424" s="169"/>
      <c r="B424" s="38" t="s">
        <v>118</v>
      </c>
      <c r="C424" s="191" t="s">
        <v>3938</v>
      </c>
      <c r="D424" s="40" t="s">
        <v>3939</v>
      </c>
      <c r="E424" s="40" t="s">
        <v>3890</v>
      </c>
      <c r="F424" s="40" t="s">
        <v>623</v>
      </c>
      <c r="G424" s="40" t="s">
        <v>213</v>
      </c>
      <c r="H424" s="42" t="s">
        <v>3940</v>
      </c>
      <c r="I424" s="188">
        <v>43801.0</v>
      </c>
      <c r="J424" s="188">
        <v>43866.0</v>
      </c>
      <c r="K424" s="189">
        <v>4336.0</v>
      </c>
      <c r="L424" s="19"/>
      <c r="M424" s="190" t="s">
        <v>3941</v>
      </c>
      <c r="N424" s="119" t="s">
        <v>3942</v>
      </c>
      <c r="O424" s="169"/>
      <c r="P424" s="169"/>
      <c r="Q424" s="169"/>
      <c r="R424" s="169"/>
      <c r="S424" s="169"/>
      <c r="T424" s="169"/>
      <c r="U424" s="169"/>
      <c r="V424" s="169"/>
      <c r="W424" s="169"/>
      <c r="X424" s="169"/>
      <c r="Y424" s="169"/>
      <c r="Z424" s="169"/>
      <c r="AA424" s="169"/>
      <c r="AB424" s="169"/>
      <c r="AC424" s="169"/>
      <c r="AD424" s="169"/>
      <c r="AE424" s="169"/>
      <c r="AF424" s="169"/>
      <c r="AG424" s="169"/>
      <c r="AH424" s="169"/>
    </row>
    <row r="425" ht="15.75" customHeight="1">
      <c r="A425" s="169"/>
      <c r="B425" s="38" t="s">
        <v>118</v>
      </c>
      <c r="C425" s="191" t="s">
        <v>3943</v>
      </c>
      <c r="D425" s="40" t="s">
        <v>756</v>
      </c>
      <c r="E425" s="40" t="s">
        <v>3890</v>
      </c>
      <c r="F425" s="40" t="s">
        <v>623</v>
      </c>
      <c r="G425" s="39" t="s">
        <v>184</v>
      </c>
      <c r="H425" s="42" t="s">
        <v>3944</v>
      </c>
      <c r="I425" s="188">
        <v>44160.0</v>
      </c>
      <c r="J425" s="188">
        <v>44225.0</v>
      </c>
      <c r="K425" s="189">
        <v>1970.0</v>
      </c>
      <c r="L425" s="19"/>
      <c r="M425" s="190" t="s">
        <v>755</v>
      </c>
      <c r="N425" s="119" t="s">
        <v>757</v>
      </c>
      <c r="O425" s="169"/>
      <c r="P425" s="169"/>
      <c r="Q425" s="169"/>
      <c r="R425" s="169"/>
      <c r="S425" s="169"/>
      <c r="T425" s="169"/>
      <c r="U425" s="169"/>
      <c r="V425" s="169"/>
      <c r="W425" s="169"/>
      <c r="X425" s="169"/>
      <c r="Y425" s="169"/>
      <c r="Z425" s="169"/>
      <c r="AA425" s="169"/>
      <c r="AB425" s="169"/>
      <c r="AC425" s="169"/>
      <c r="AD425" s="169"/>
      <c r="AE425" s="169"/>
      <c r="AF425" s="169"/>
      <c r="AG425" s="169"/>
      <c r="AH425" s="169"/>
    </row>
    <row r="426" ht="15.75" customHeight="1">
      <c r="A426" s="169"/>
      <c r="B426" s="38" t="s">
        <v>118</v>
      </c>
      <c r="C426" s="191" t="s">
        <v>3945</v>
      </c>
      <c r="D426" s="40" t="s">
        <v>488</v>
      </c>
      <c r="E426" s="40" t="s">
        <v>3890</v>
      </c>
      <c r="F426" s="40" t="s">
        <v>414</v>
      </c>
      <c r="G426" s="39" t="s">
        <v>184</v>
      </c>
      <c r="H426" s="42" t="s">
        <v>3946</v>
      </c>
      <c r="I426" s="188">
        <v>44500.0</v>
      </c>
      <c r="J426" s="188">
        <v>44565.0</v>
      </c>
      <c r="K426" s="189">
        <v>2293.0</v>
      </c>
      <c r="L426" s="19"/>
      <c r="M426" s="192" t="s">
        <v>487</v>
      </c>
      <c r="N426" s="119" t="s">
        <v>490</v>
      </c>
      <c r="O426" s="169"/>
      <c r="P426" s="169"/>
      <c r="Q426" s="169"/>
      <c r="R426" s="169"/>
      <c r="S426" s="169"/>
      <c r="T426" s="169"/>
      <c r="U426" s="169"/>
      <c r="V426" s="169"/>
      <c r="W426" s="169"/>
      <c r="X426" s="169"/>
      <c r="Y426" s="169"/>
      <c r="Z426" s="169"/>
      <c r="AA426" s="169"/>
      <c r="AB426" s="169"/>
      <c r="AC426" s="169"/>
      <c r="AD426" s="169"/>
      <c r="AE426" s="169"/>
      <c r="AF426" s="169"/>
      <c r="AG426" s="169"/>
      <c r="AH426" s="169"/>
    </row>
    <row r="427" ht="15.75" customHeight="1">
      <c r="A427" s="169"/>
      <c r="B427" s="38" t="s">
        <v>2311</v>
      </c>
      <c r="C427" s="191" t="s">
        <v>3947</v>
      </c>
      <c r="D427" s="40" t="s">
        <v>794</v>
      </c>
      <c r="E427" s="40" t="s">
        <v>3890</v>
      </c>
      <c r="F427" s="40" t="s">
        <v>623</v>
      </c>
      <c r="G427" s="39" t="s">
        <v>795</v>
      </c>
      <c r="H427" s="42" t="s">
        <v>3948</v>
      </c>
      <c r="I427" s="188">
        <v>44551.0</v>
      </c>
      <c r="J427" s="188">
        <v>44616.0</v>
      </c>
      <c r="K427" s="189">
        <v>1488.0</v>
      </c>
      <c r="L427" s="19"/>
      <c r="M427" s="190" t="s">
        <v>793</v>
      </c>
      <c r="N427" s="119" t="s">
        <v>796</v>
      </c>
      <c r="O427" s="169"/>
      <c r="P427" s="169"/>
      <c r="Q427" s="169"/>
      <c r="R427" s="169"/>
      <c r="S427" s="169"/>
      <c r="T427" s="169"/>
      <c r="U427" s="169"/>
      <c r="V427" s="169"/>
      <c r="W427" s="169"/>
      <c r="X427" s="169"/>
      <c r="Y427" s="169"/>
      <c r="Z427" s="169"/>
      <c r="AA427" s="169"/>
      <c r="AB427" s="169"/>
      <c r="AC427" s="169"/>
      <c r="AD427" s="169"/>
      <c r="AE427" s="169"/>
      <c r="AF427" s="169"/>
      <c r="AG427" s="169"/>
      <c r="AH427" s="169"/>
    </row>
    <row r="428" ht="15.75" customHeight="1">
      <c r="A428" s="169"/>
      <c r="B428" s="38" t="s">
        <v>2311</v>
      </c>
      <c r="C428" s="191" t="s">
        <v>3673</v>
      </c>
      <c r="D428" s="40" t="s">
        <v>794</v>
      </c>
      <c r="E428" s="40" t="s">
        <v>3890</v>
      </c>
      <c r="F428" s="40" t="s">
        <v>623</v>
      </c>
      <c r="G428" s="39" t="s">
        <v>795</v>
      </c>
      <c r="H428" s="42" t="s">
        <v>3949</v>
      </c>
      <c r="I428" s="188">
        <v>44551.0</v>
      </c>
      <c r="J428" s="188">
        <v>44616.0</v>
      </c>
      <c r="K428" s="189">
        <v>1352.0</v>
      </c>
      <c r="L428" s="19"/>
      <c r="M428" s="190" t="s">
        <v>797</v>
      </c>
      <c r="N428" s="119" t="s">
        <v>798</v>
      </c>
      <c r="O428" s="169"/>
      <c r="P428" s="169"/>
      <c r="Q428" s="169"/>
      <c r="R428" s="169"/>
      <c r="S428" s="169"/>
      <c r="T428" s="169"/>
      <c r="U428" s="169"/>
      <c r="V428" s="169"/>
      <c r="W428" s="169"/>
      <c r="X428" s="169"/>
      <c r="Y428" s="169"/>
      <c r="Z428" s="169"/>
      <c r="AA428" s="169"/>
      <c r="AB428" s="169"/>
      <c r="AC428" s="169"/>
      <c r="AD428" s="169"/>
      <c r="AE428" s="169"/>
      <c r="AF428" s="169"/>
      <c r="AG428" s="169"/>
      <c r="AH428" s="169"/>
    </row>
    <row r="429" ht="15.75" customHeight="1">
      <c r="A429" s="169"/>
      <c r="B429" s="38" t="s">
        <v>1031</v>
      </c>
      <c r="C429" s="191" t="s">
        <v>3950</v>
      </c>
      <c r="D429" s="40" t="s">
        <v>3951</v>
      </c>
      <c r="E429" s="40" t="s">
        <v>3890</v>
      </c>
      <c r="F429" s="40" t="s">
        <v>1051</v>
      </c>
      <c r="G429" s="39" t="s">
        <v>1035</v>
      </c>
      <c r="H429" s="42" t="s">
        <v>3952</v>
      </c>
      <c r="I429" s="188">
        <v>43626.0</v>
      </c>
      <c r="J429" s="188">
        <v>43691.0</v>
      </c>
      <c r="K429" s="189">
        <v>1520.0</v>
      </c>
      <c r="L429" s="19"/>
      <c r="M429" s="190" t="s">
        <v>3953</v>
      </c>
      <c r="N429" s="42"/>
      <c r="O429" s="169"/>
      <c r="P429" s="169"/>
      <c r="Q429" s="169"/>
      <c r="R429" s="169"/>
      <c r="S429" s="169"/>
      <c r="T429" s="169"/>
      <c r="U429" s="169"/>
      <c r="V429" s="169"/>
      <c r="W429" s="169"/>
      <c r="X429" s="169"/>
      <c r="Y429" s="169"/>
      <c r="Z429" s="169"/>
      <c r="AA429" s="169"/>
      <c r="AB429" s="169"/>
      <c r="AC429" s="169"/>
      <c r="AD429" s="169"/>
      <c r="AE429" s="169"/>
      <c r="AF429" s="169"/>
      <c r="AG429" s="169"/>
      <c r="AH429" s="169"/>
    </row>
    <row r="430" ht="15.75" customHeight="1">
      <c r="A430" s="169"/>
      <c r="B430" s="38" t="s">
        <v>1031</v>
      </c>
      <c r="C430" s="191" t="s">
        <v>3954</v>
      </c>
      <c r="D430" s="40" t="s">
        <v>3955</v>
      </c>
      <c r="E430" s="40" t="s">
        <v>3890</v>
      </c>
      <c r="F430" s="40" t="s">
        <v>1051</v>
      </c>
      <c r="G430" s="39" t="s">
        <v>1035</v>
      </c>
      <c r="H430" s="42" t="s">
        <v>3956</v>
      </c>
      <c r="I430" s="188">
        <v>44614.0</v>
      </c>
      <c r="J430" s="188">
        <v>44679.0</v>
      </c>
      <c r="K430" s="189">
        <v>1292.0</v>
      </c>
      <c r="L430" s="19"/>
      <c r="M430" s="192" t="s">
        <v>1049</v>
      </c>
      <c r="N430" s="119" t="s">
        <v>3957</v>
      </c>
      <c r="O430" s="169"/>
      <c r="P430" s="169"/>
      <c r="Q430" s="169"/>
      <c r="R430" s="169"/>
      <c r="S430" s="169"/>
      <c r="T430" s="169"/>
      <c r="U430" s="169"/>
      <c r="V430" s="169"/>
      <c r="W430" s="169"/>
      <c r="X430" s="169"/>
      <c r="Y430" s="169"/>
      <c r="Z430" s="169"/>
      <c r="AA430" s="169"/>
      <c r="AB430" s="169"/>
      <c r="AC430" s="169"/>
      <c r="AD430" s="169"/>
      <c r="AE430" s="169"/>
      <c r="AF430" s="169"/>
      <c r="AG430" s="169"/>
      <c r="AH430" s="169"/>
    </row>
    <row r="431" ht="15.75" customHeight="1">
      <c r="A431" s="169"/>
      <c r="B431" s="38" t="s">
        <v>1031</v>
      </c>
      <c r="C431" s="191" t="s">
        <v>3958</v>
      </c>
      <c r="D431" s="40" t="s">
        <v>3959</v>
      </c>
      <c r="E431" s="40" t="s">
        <v>3890</v>
      </c>
      <c r="F431" s="40" t="s">
        <v>1051</v>
      </c>
      <c r="G431" s="39" t="s">
        <v>1035</v>
      </c>
      <c r="H431" s="42" t="s">
        <v>3960</v>
      </c>
      <c r="I431" s="188">
        <v>44614.0</v>
      </c>
      <c r="J431" s="188">
        <v>44679.0</v>
      </c>
      <c r="K431" s="189">
        <v>1422.0</v>
      </c>
      <c r="L431" s="19"/>
      <c r="M431" s="192" t="s">
        <v>3961</v>
      </c>
      <c r="N431" s="42" t="s">
        <v>3962</v>
      </c>
      <c r="O431" s="169"/>
      <c r="P431" s="169"/>
      <c r="Q431" s="169"/>
      <c r="R431" s="169"/>
      <c r="S431" s="169"/>
      <c r="T431" s="169"/>
      <c r="U431" s="169"/>
      <c r="V431" s="169"/>
      <c r="W431" s="169"/>
      <c r="X431" s="169"/>
      <c r="Y431" s="169"/>
      <c r="Z431" s="169"/>
      <c r="AA431" s="169"/>
      <c r="AB431" s="169"/>
      <c r="AC431" s="169"/>
      <c r="AD431" s="169"/>
      <c r="AE431" s="169"/>
      <c r="AF431" s="169"/>
      <c r="AG431" s="169"/>
      <c r="AH431" s="169"/>
    </row>
    <row r="432" ht="15.75" customHeight="1">
      <c r="A432" s="169"/>
      <c r="B432" s="38" t="s">
        <v>1031</v>
      </c>
      <c r="C432" s="191" t="s">
        <v>3953</v>
      </c>
      <c r="D432" s="40" t="s">
        <v>3963</v>
      </c>
      <c r="E432" s="40" t="s">
        <v>3890</v>
      </c>
      <c r="F432" s="40" t="s">
        <v>1051</v>
      </c>
      <c r="G432" s="39" t="s">
        <v>1035</v>
      </c>
      <c r="H432" s="42" t="s">
        <v>3964</v>
      </c>
      <c r="I432" s="188">
        <v>44614.0</v>
      </c>
      <c r="J432" s="188">
        <v>44679.0</v>
      </c>
      <c r="K432" s="189">
        <v>1520.0</v>
      </c>
      <c r="L432" s="19"/>
      <c r="M432" s="192" t="s">
        <v>3961</v>
      </c>
      <c r="N432" s="42" t="s">
        <v>3962</v>
      </c>
      <c r="O432" s="169"/>
      <c r="P432" s="169"/>
      <c r="Q432" s="169"/>
      <c r="R432" s="169"/>
      <c r="S432" s="169"/>
      <c r="T432" s="169"/>
      <c r="U432" s="169"/>
      <c r="V432" s="169"/>
      <c r="W432" s="169"/>
      <c r="X432" s="169"/>
      <c r="Y432" s="169"/>
      <c r="Z432" s="169"/>
      <c r="AA432" s="169"/>
      <c r="AB432" s="169"/>
      <c r="AC432" s="169"/>
      <c r="AD432" s="169"/>
      <c r="AE432" s="169"/>
      <c r="AF432" s="169"/>
      <c r="AG432" s="169"/>
      <c r="AH432" s="169"/>
    </row>
    <row r="433" ht="15.75" customHeight="1">
      <c r="A433" s="169"/>
      <c r="B433" s="38" t="s">
        <v>1031</v>
      </c>
      <c r="C433" s="191" t="s">
        <v>3965</v>
      </c>
      <c r="D433" s="40" t="s">
        <v>3966</v>
      </c>
      <c r="E433" s="40" t="s">
        <v>3890</v>
      </c>
      <c r="F433" s="40" t="s">
        <v>1051</v>
      </c>
      <c r="G433" s="39" t="s">
        <v>1035</v>
      </c>
      <c r="H433" s="42" t="s">
        <v>3967</v>
      </c>
      <c r="I433" s="188">
        <v>43626.0</v>
      </c>
      <c r="J433" s="188">
        <v>43691.0</v>
      </c>
      <c r="K433" s="189">
        <v>1292.0</v>
      </c>
      <c r="L433" s="19"/>
      <c r="M433" s="192" t="s">
        <v>3954</v>
      </c>
      <c r="N433" s="42"/>
      <c r="O433" s="169"/>
      <c r="P433" s="169"/>
      <c r="Q433" s="169"/>
      <c r="R433" s="169"/>
      <c r="S433" s="169"/>
      <c r="T433" s="169"/>
      <c r="U433" s="169"/>
      <c r="V433" s="169"/>
      <c r="W433" s="169"/>
      <c r="X433" s="169"/>
      <c r="Y433" s="169"/>
      <c r="Z433" s="169"/>
      <c r="AA433" s="169"/>
      <c r="AB433" s="169"/>
      <c r="AC433" s="169"/>
      <c r="AD433" s="169"/>
      <c r="AE433" s="169"/>
      <c r="AF433" s="169"/>
      <c r="AG433" s="169"/>
      <c r="AH433" s="169"/>
    </row>
    <row r="434" ht="15.75" customHeight="1">
      <c r="A434" s="169"/>
      <c r="B434" s="38" t="s">
        <v>1031</v>
      </c>
      <c r="C434" s="191" t="s">
        <v>3968</v>
      </c>
      <c r="D434" s="40" t="s">
        <v>3969</v>
      </c>
      <c r="E434" s="40" t="s">
        <v>3890</v>
      </c>
      <c r="F434" s="40" t="s">
        <v>1051</v>
      </c>
      <c r="G434" s="39" t="s">
        <v>1035</v>
      </c>
      <c r="H434" s="42" t="s">
        <v>3970</v>
      </c>
      <c r="I434" s="188">
        <v>43626.0</v>
      </c>
      <c r="J434" s="188">
        <v>43691.0</v>
      </c>
      <c r="K434" s="189">
        <v>1422.0</v>
      </c>
      <c r="L434" s="19"/>
      <c r="M434" s="192" t="s">
        <v>3958</v>
      </c>
      <c r="N434" s="42"/>
      <c r="O434" s="169"/>
      <c r="P434" s="169"/>
      <c r="Q434" s="169"/>
      <c r="R434" s="169"/>
      <c r="S434" s="169"/>
      <c r="T434" s="169"/>
      <c r="U434" s="169"/>
      <c r="V434" s="169"/>
      <c r="W434" s="169"/>
      <c r="X434" s="169"/>
      <c r="Y434" s="169"/>
      <c r="Z434" s="169"/>
      <c r="AA434" s="169"/>
      <c r="AB434" s="169"/>
      <c r="AC434" s="169"/>
      <c r="AD434" s="169"/>
      <c r="AE434" s="169"/>
      <c r="AF434" s="169"/>
      <c r="AG434" s="169"/>
      <c r="AH434" s="169"/>
    </row>
    <row r="435" ht="15.75" customHeight="1">
      <c r="A435" s="169"/>
      <c r="B435" s="38" t="s">
        <v>1031</v>
      </c>
      <c r="C435" s="191" t="s">
        <v>3971</v>
      </c>
      <c r="D435" s="40" t="s">
        <v>3972</v>
      </c>
      <c r="E435" s="40" t="s">
        <v>3890</v>
      </c>
      <c r="F435" s="40" t="s">
        <v>1051</v>
      </c>
      <c r="G435" s="40" t="s">
        <v>1035</v>
      </c>
      <c r="H435" s="42" t="s">
        <v>3973</v>
      </c>
      <c r="I435" s="188">
        <v>43801.0</v>
      </c>
      <c r="J435" s="188">
        <v>43866.0</v>
      </c>
      <c r="K435" s="189">
        <v>1548.0</v>
      </c>
      <c r="L435" s="19"/>
      <c r="M435" s="192" t="s">
        <v>3974</v>
      </c>
      <c r="N435" s="42" t="s">
        <v>3975</v>
      </c>
      <c r="O435" s="169"/>
      <c r="P435" s="169"/>
      <c r="Q435" s="169"/>
      <c r="R435" s="169"/>
      <c r="S435" s="169"/>
      <c r="T435" s="169"/>
      <c r="U435" s="169"/>
      <c r="V435" s="169"/>
      <c r="W435" s="169"/>
      <c r="X435" s="169"/>
      <c r="Y435" s="169"/>
      <c r="Z435" s="169"/>
      <c r="AA435" s="169"/>
      <c r="AB435" s="169"/>
      <c r="AC435" s="169"/>
      <c r="AD435" s="169"/>
      <c r="AE435" s="169"/>
      <c r="AF435" s="169"/>
      <c r="AG435" s="169"/>
      <c r="AH435" s="169"/>
    </row>
    <row r="436" ht="15.75" customHeight="1">
      <c r="A436" s="169"/>
      <c r="B436" s="38" t="s">
        <v>1031</v>
      </c>
      <c r="C436" s="191" t="s">
        <v>3976</v>
      </c>
      <c r="D436" s="40" t="s">
        <v>3977</v>
      </c>
      <c r="E436" s="40" t="s">
        <v>3890</v>
      </c>
      <c r="F436" s="40" t="s">
        <v>1051</v>
      </c>
      <c r="G436" s="40" t="s">
        <v>1035</v>
      </c>
      <c r="H436" s="42" t="s">
        <v>3978</v>
      </c>
      <c r="I436" s="188">
        <v>43801.0</v>
      </c>
      <c r="J436" s="188">
        <v>43866.0</v>
      </c>
      <c r="K436" s="189">
        <v>1678.0</v>
      </c>
      <c r="L436" s="19"/>
      <c r="M436" s="192" t="s">
        <v>3979</v>
      </c>
      <c r="N436" s="42" t="s">
        <v>3980</v>
      </c>
      <c r="O436" s="169"/>
      <c r="P436" s="169"/>
      <c r="Q436" s="169"/>
      <c r="R436" s="169"/>
      <c r="S436" s="169"/>
      <c r="T436" s="169"/>
      <c r="U436" s="169"/>
      <c r="V436" s="169"/>
      <c r="W436" s="169"/>
      <c r="X436" s="169"/>
      <c r="Y436" s="169"/>
      <c r="Z436" s="169"/>
      <c r="AA436" s="169"/>
      <c r="AB436" s="169"/>
      <c r="AC436" s="169"/>
      <c r="AD436" s="169"/>
      <c r="AE436" s="169"/>
      <c r="AF436" s="169"/>
      <c r="AG436" s="169"/>
      <c r="AH436" s="169"/>
    </row>
    <row r="437" ht="15.75" customHeight="1">
      <c r="A437" s="169"/>
      <c r="B437" s="38" t="s">
        <v>1031</v>
      </c>
      <c r="C437" s="191" t="s">
        <v>3981</v>
      </c>
      <c r="D437" s="40" t="s">
        <v>3982</v>
      </c>
      <c r="E437" s="40" t="s">
        <v>3890</v>
      </c>
      <c r="F437" s="40" t="s">
        <v>1051</v>
      </c>
      <c r="G437" s="40" t="s">
        <v>1035</v>
      </c>
      <c r="H437" s="42" t="s">
        <v>3983</v>
      </c>
      <c r="I437" s="188">
        <v>43801.0</v>
      </c>
      <c r="J437" s="188">
        <v>43866.0</v>
      </c>
      <c r="K437" s="189">
        <v>1906.0</v>
      </c>
      <c r="L437" s="19"/>
      <c r="M437" s="192" t="s">
        <v>3984</v>
      </c>
      <c r="N437" s="42" t="s">
        <v>3985</v>
      </c>
      <c r="O437" s="169"/>
      <c r="P437" s="169"/>
      <c r="Q437" s="169"/>
      <c r="R437" s="169"/>
      <c r="S437" s="169"/>
      <c r="T437" s="169"/>
      <c r="U437" s="169"/>
      <c r="V437" s="169"/>
      <c r="W437" s="169"/>
      <c r="X437" s="169"/>
      <c r="Y437" s="169"/>
      <c r="Z437" s="169"/>
      <c r="AA437" s="169"/>
      <c r="AB437" s="169"/>
      <c r="AC437" s="169"/>
      <c r="AD437" s="169"/>
      <c r="AE437" s="169"/>
      <c r="AF437" s="169"/>
      <c r="AG437" s="169"/>
      <c r="AH437" s="169"/>
    </row>
    <row r="438" ht="15.75" customHeight="1">
      <c r="A438" s="169"/>
      <c r="B438" s="38" t="s">
        <v>1031</v>
      </c>
      <c r="C438" s="191" t="s">
        <v>3974</v>
      </c>
      <c r="D438" s="40" t="s">
        <v>3986</v>
      </c>
      <c r="E438" s="40" t="s">
        <v>3890</v>
      </c>
      <c r="F438" s="40" t="s">
        <v>1051</v>
      </c>
      <c r="G438" s="39" t="s">
        <v>1035</v>
      </c>
      <c r="H438" s="48" t="s">
        <v>3975</v>
      </c>
      <c r="I438" s="188">
        <v>44646.0</v>
      </c>
      <c r="J438" s="188">
        <v>44711.0</v>
      </c>
      <c r="K438" s="189">
        <v>1548.0</v>
      </c>
      <c r="L438" s="19"/>
      <c r="M438" s="192" t="s">
        <v>1062</v>
      </c>
      <c r="N438" s="119" t="s">
        <v>3987</v>
      </c>
      <c r="O438" s="169"/>
      <c r="P438" s="169"/>
      <c r="Q438" s="169"/>
      <c r="R438" s="169"/>
      <c r="S438" s="169"/>
      <c r="T438" s="169"/>
      <c r="U438" s="169"/>
      <c r="V438" s="169"/>
      <c r="W438" s="169"/>
      <c r="X438" s="169"/>
      <c r="Y438" s="169"/>
      <c r="Z438" s="169"/>
      <c r="AA438" s="169"/>
      <c r="AB438" s="169"/>
      <c r="AC438" s="169"/>
      <c r="AD438" s="169"/>
      <c r="AE438" s="169"/>
      <c r="AF438" s="169"/>
      <c r="AG438" s="169"/>
      <c r="AH438" s="169"/>
    </row>
    <row r="439" ht="15.75" customHeight="1">
      <c r="A439" s="169"/>
      <c r="B439" s="38" t="s">
        <v>1031</v>
      </c>
      <c r="C439" s="191" t="s">
        <v>3979</v>
      </c>
      <c r="D439" s="40" t="s">
        <v>3988</v>
      </c>
      <c r="E439" s="40" t="s">
        <v>3890</v>
      </c>
      <c r="F439" s="40" t="s">
        <v>1051</v>
      </c>
      <c r="G439" s="39" t="s">
        <v>1035</v>
      </c>
      <c r="H439" s="48" t="s">
        <v>3980</v>
      </c>
      <c r="I439" s="188">
        <v>44646.0</v>
      </c>
      <c r="J439" s="188">
        <v>44711.0</v>
      </c>
      <c r="K439" s="189">
        <v>1678.0</v>
      </c>
      <c r="L439" s="19"/>
      <c r="M439" s="192" t="s">
        <v>3989</v>
      </c>
      <c r="N439" s="42" t="s">
        <v>3990</v>
      </c>
      <c r="O439" s="169"/>
      <c r="P439" s="169"/>
      <c r="Q439" s="169"/>
      <c r="R439" s="169"/>
      <c r="S439" s="169"/>
      <c r="T439" s="169"/>
      <c r="U439" s="169"/>
      <c r="V439" s="169"/>
      <c r="W439" s="169"/>
      <c r="X439" s="169"/>
      <c r="Y439" s="169"/>
      <c r="Z439" s="169"/>
      <c r="AA439" s="169"/>
      <c r="AB439" s="169"/>
      <c r="AC439" s="169"/>
      <c r="AD439" s="169"/>
      <c r="AE439" s="169"/>
      <c r="AF439" s="169"/>
      <c r="AG439" s="169"/>
      <c r="AH439" s="169"/>
    </row>
    <row r="440" ht="15.75" customHeight="1">
      <c r="A440" s="169"/>
      <c r="B440" s="38" t="s">
        <v>1031</v>
      </c>
      <c r="C440" s="191" t="s">
        <v>3984</v>
      </c>
      <c r="D440" s="40" t="s">
        <v>3991</v>
      </c>
      <c r="E440" s="40" t="s">
        <v>3890</v>
      </c>
      <c r="F440" s="40" t="s">
        <v>1051</v>
      </c>
      <c r="G440" s="39" t="s">
        <v>1035</v>
      </c>
      <c r="H440" s="48" t="s">
        <v>3985</v>
      </c>
      <c r="I440" s="188">
        <v>44646.0</v>
      </c>
      <c r="J440" s="188">
        <v>44711.0</v>
      </c>
      <c r="K440" s="189">
        <v>1906.0</v>
      </c>
      <c r="L440" s="19"/>
      <c r="M440" s="192" t="s">
        <v>3989</v>
      </c>
      <c r="N440" s="42" t="s">
        <v>3992</v>
      </c>
      <c r="O440" s="169"/>
      <c r="P440" s="169"/>
      <c r="Q440" s="169"/>
      <c r="R440" s="169"/>
      <c r="S440" s="169"/>
      <c r="T440" s="169"/>
      <c r="U440" s="169"/>
      <c r="V440" s="169"/>
      <c r="W440" s="169"/>
      <c r="X440" s="169"/>
      <c r="Y440" s="169"/>
      <c r="Z440" s="169"/>
      <c r="AA440" s="169"/>
      <c r="AB440" s="169"/>
      <c r="AC440" s="169"/>
      <c r="AD440" s="169"/>
      <c r="AE440" s="169"/>
      <c r="AF440" s="169"/>
      <c r="AG440" s="169"/>
      <c r="AH440" s="169"/>
    </row>
    <row r="441" ht="15.75" customHeight="1">
      <c r="A441" s="169"/>
      <c r="B441" s="38" t="s">
        <v>1031</v>
      </c>
      <c r="C441" s="191" t="s">
        <v>3993</v>
      </c>
      <c r="D441" s="40" t="s">
        <v>3994</v>
      </c>
      <c r="E441" s="40" t="s">
        <v>3890</v>
      </c>
      <c r="F441" s="40" t="s">
        <v>1047</v>
      </c>
      <c r="G441" s="39" t="s">
        <v>1035</v>
      </c>
      <c r="H441" s="42" t="s">
        <v>3995</v>
      </c>
      <c r="I441" s="188">
        <v>43801.0</v>
      </c>
      <c r="J441" s="188">
        <v>43866.0</v>
      </c>
      <c r="K441" s="189">
        <v>2700.0</v>
      </c>
      <c r="L441" s="19"/>
      <c r="M441" s="192" t="s">
        <v>3996</v>
      </c>
      <c r="N441" s="42" t="s">
        <v>3997</v>
      </c>
      <c r="O441" s="169"/>
      <c r="P441" s="169"/>
      <c r="Q441" s="169"/>
      <c r="R441" s="169"/>
      <c r="S441" s="169"/>
      <c r="T441" s="169"/>
      <c r="U441" s="169"/>
      <c r="V441" s="169"/>
      <c r="W441" s="169"/>
      <c r="X441" s="169"/>
      <c r="Y441" s="169"/>
      <c r="Z441" s="169"/>
      <c r="AA441" s="169"/>
      <c r="AB441" s="169"/>
      <c r="AC441" s="169"/>
      <c r="AD441" s="169"/>
      <c r="AE441" s="169"/>
      <c r="AF441" s="169"/>
      <c r="AG441" s="169"/>
      <c r="AH441" s="169"/>
    </row>
    <row r="442" ht="15.75" customHeight="1">
      <c r="A442" s="169"/>
      <c r="B442" s="38" t="s">
        <v>1031</v>
      </c>
      <c r="C442" s="191" t="s">
        <v>3998</v>
      </c>
      <c r="D442" s="40" t="s">
        <v>3999</v>
      </c>
      <c r="E442" s="40" t="s">
        <v>3890</v>
      </c>
      <c r="F442" s="40" t="s">
        <v>1047</v>
      </c>
      <c r="G442" s="40" t="s">
        <v>1035</v>
      </c>
      <c r="H442" s="42" t="s">
        <v>3997</v>
      </c>
      <c r="I442" s="188">
        <v>44524.0</v>
      </c>
      <c r="J442" s="188">
        <v>44589.0</v>
      </c>
      <c r="K442" s="189">
        <v>2575.0</v>
      </c>
      <c r="L442" s="19"/>
      <c r="M442" s="192" t="s">
        <v>4000</v>
      </c>
      <c r="N442" s="42" t="s">
        <v>4001</v>
      </c>
      <c r="O442" s="169"/>
      <c r="P442" s="169"/>
      <c r="Q442" s="169"/>
      <c r="R442" s="169"/>
      <c r="S442" s="169"/>
      <c r="T442" s="169"/>
      <c r="U442" s="169"/>
      <c r="V442" s="169"/>
      <c r="W442" s="169"/>
      <c r="X442" s="169"/>
      <c r="Y442" s="169"/>
      <c r="Z442" s="169"/>
      <c r="AA442" s="169"/>
      <c r="AB442" s="169"/>
      <c r="AC442" s="169"/>
      <c r="AD442" s="169"/>
      <c r="AE442" s="169"/>
      <c r="AF442" s="169"/>
      <c r="AG442" s="169"/>
      <c r="AH442" s="169"/>
    </row>
    <row r="443" ht="15.75" customHeight="1">
      <c r="A443" s="169"/>
      <c r="B443" s="38" t="s">
        <v>1031</v>
      </c>
      <c r="C443" s="191" t="s">
        <v>4002</v>
      </c>
      <c r="D443" s="40" t="s">
        <v>4003</v>
      </c>
      <c r="E443" s="40" t="s">
        <v>3890</v>
      </c>
      <c r="F443" s="40" t="s">
        <v>1047</v>
      </c>
      <c r="G443" s="39" t="s">
        <v>1035</v>
      </c>
      <c r="H443" s="42" t="s">
        <v>4004</v>
      </c>
      <c r="I443" s="188">
        <v>43801.0</v>
      </c>
      <c r="J443" s="188">
        <v>43866.0</v>
      </c>
      <c r="K443" s="189">
        <v>3000.0</v>
      </c>
      <c r="L443" s="19"/>
      <c r="M443" s="192" t="s">
        <v>4005</v>
      </c>
      <c r="N443" s="42" t="s">
        <v>3997</v>
      </c>
      <c r="O443" s="169"/>
      <c r="P443" s="169"/>
      <c r="Q443" s="169"/>
      <c r="R443" s="169"/>
      <c r="S443" s="169"/>
      <c r="T443" s="169"/>
      <c r="U443" s="169"/>
      <c r="V443" s="169"/>
      <c r="W443" s="169"/>
      <c r="X443" s="169"/>
      <c r="Y443" s="169"/>
      <c r="Z443" s="169"/>
      <c r="AA443" s="169"/>
      <c r="AB443" s="169"/>
      <c r="AC443" s="169"/>
      <c r="AD443" s="169"/>
      <c r="AE443" s="169"/>
      <c r="AF443" s="169"/>
      <c r="AG443" s="169"/>
      <c r="AH443" s="169"/>
    </row>
    <row r="444" ht="15.75" customHeight="1">
      <c r="A444" s="169"/>
      <c r="B444" s="38" t="s">
        <v>1031</v>
      </c>
      <c r="C444" s="191" t="s">
        <v>4006</v>
      </c>
      <c r="D444" s="40" t="s">
        <v>4007</v>
      </c>
      <c r="E444" s="40" t="s">
        <v>3890</v>
      </c>
      <c r="F444" s="40" t="s">
        <v>1047</v>
      </c>
      <c r="G444" s="39" t="s">
        <v>1035</v>
      </c>
      <c r="H444" s="42" t="s">
        <v>4008</v>
      </c>
      <c r="I444" s="188">
        <v>44524.0</v>
      </c>
      <c r="J444" s="188">
        <v>44589.0</v>
      </c>
      <c r="K444" s="189">
        <v>2875.0</v>
      </c>
      <c r="L444" s="19"/>
      <c r="M444" s="192" t="s">
        <v>4009</v>
      </c>
      <c r="N444" s="119" t="s">
        <v>4010</v>
      </c>
      <c r="O444" s="169"/>
      <c r="P444" s="169"/>
      <c r="Q444" s="169"/>
      <c r="R444" s="169"/>
      <c r="S444" s="169"/>
      <c r="T444" s="169"/>
      <c r="U444" s="169"/>
      <c r="V444" s="169"/>
      <c r="W444" s="169"/>
      <c r="X444" s="169"/>
      <c r="Y444" s="169"/>
      <c r="Z444" s="169"/>
      <c r="AA444" s="169"/>
      <c r="AB444" s="169"/>
      <c r="AC444" s="169"/>
      <c r="AD444" s="169"/>
      <c r="AE444" s="169"/>
      <c r="AF444" s="169"/>
      <c r="AG444" s="169"/>
      <c r="AH444" s="169"/>
    </row>
    <row r="445" ht="15.75" customHeight="1">
      <c r="A445" s="169"/>
      <c r="B445" s="38" t="s">
        <v>1031</v>
      </c>
      <c r="C445" s="191" t="s">
        <v>4005</v>
      </c>
      <c r="D445" s="40" t="s">
        <v>4011</v>
      </c>
      <c r="E445" s="40" t="s">
        <v>3890</v>
      </c>
      <c r="F445" s="40" t="s">
        <v>1047</v>
      </c>
      <c r="G445" s="39" t="s">
        <v>1035</v>
      </c>
      <c r="H445" s="42" t="s">
        <v>4012</v>
      </c>
      <c r="I445" s="188">
        <v>44524.0</v>
      </c>
      <c r="J445" s="188">
        <v>44589.0</v>
      </c>
      <c r="K445" s="189">
        <v>3000.0</v>
      </c>
      <c r="L445" s="19"/>
      <c r="M445" s="192" t="s">
        <v>4009</v>
      </c>
      <c r="N445" s="119" t="s">
        <v>4010</v>
      </c>
      <c r="O445" s="169"/>
      <c r="P445" s="169"/>
      <c r="Q445" s="169"/>
      <c r="R445" s="169"/>
      <c r="S445" s="169"/>
      <c r="T445" s="169"/>
      <c r="U445" s="169"/>
      <c r="V445" s="169"/>
      <c r="W445" s="169"/>
      <c r="X445" s="169"/>
      <c r="Y445" s="169"/>
      <c r="Z445" s="169"/>
      <c r="AA445" s="169"/>
      <c r="AB445" s="169"/>
      <c r="AC445" s="169"/>
      <c r="AD445" s="169"/>
      <c r="AE445" s="169"/>
      <c r="AF445" s="169"/>
      <c r="AG445" s="169"/>
      <c r="AH445" s="169"/>
    </row>
    <row r="446" ht="15.75" customHeight="1">
      <c r="A446" s="169"/>
      <c r="B446" s="38" t="s">
        <v>1031</v>
      </c>
      <c r="C446" s="191" t="s">
        <v>4013</v>
      </c>
      <c r="D446" s="40" t="s">
        <v>4014</v>
      </c>
      <c r="E446" s="40" t="s">
        <v>3890</v>
      </c>
      <c r="F446" s="40" t="s">
        <v>1041</v>
      </c>
      <c r="G446" s="39" t="s">
        <v>1035</v>
      </c>
      <c r="H446" s="42" t="s">
        <v>4015</v>
      </c>
      <c r="I446" s="188">
        <v>43771.0</v>
      </c>
      <c r="J446" s="188">
        <v>43836.0</v>
      </c>
      <c r="K446" s="189">
        <v>4410.0</v>
      </c>
      <c r="L446" s="19"/>
      <c r="M446" s="192" t="s">
        <v>4016</v>
      </c>
      <c r="N446" s="42" t="s">
        <v>4017</v>
      </c>
      <c r="O446" s="169"/>
      <c r="P446" s="169"/>
      <c r="Q446" s="169"/>
      <c r="R446" s="169"/>
      <c r="S446" s="169"/>
      <c r="T446" s="169"/>
      <c r="U446" s="169"/>
      <c r="V446" s="169"/>
      <c r="W446" s="169"/>
      <c r="X446" s="169"/>
      <c r="Y446" s="169"/>
      <c r="Z446" s="169"/>
      <c r="AA446" s="169"/>
      <c r="AB446" s="169"/>
      <c r="AC446" s="169"/>
      <c r="AD446" s="169"/>
      <c r="AE446" s="169"/>
      <c r="AF446" s="169"/>
      <c r="AG446" s="169"/>
      <c r="AH446" s="169"/>
    </row>
    <row r="447" ht="15.75" customHeight="1">
      <c r="A447" s="169"/>
      <c r="B447" s="38" t="s">
        <v>1031</v>
      </c>
      <c r="C447" s="191" t="s">
        <v>4018</v>
      </c>
      <c r="D447" s="40" t="s">
        <v>4019</v>
      </c>
      <c r="E447" s="40" t="s">
        <v>3890</v>
      </c>
      <c r="F447" s="40" t="s">
        <v>1041</v>
      </c>
      <c r="G447" s="39" t="s">
        <v>1035</v>
      </c>
      <c r="H447" s="42" t="s">
        <v>4020</v>
      </c>
      <c r="I447" s="188">
        <v>43771.0</v>
      </c>
      <c r="J447" s="188">
        <v>43836.0</v>
      </c>
      <c r="K447" s="189">
        <v>4612.0</v>
      </c>
      <c r="L447" s="19"/>
      <c r="M447" s="192" t="s">
        <v>4021</v>
      </c>
      <c r="N447" s="42" t="s">
        <v>4017</v>
      </c>
      <c r="O447" s="169"/>
      <c r="P447" s="169"/>
      <c r="Q447" s="169"/>
      <c r="R447" s="169"/>
      <c r="S447" s="169"/>
      <c r="T447" s="169"/>
      <c r="U447" s="169"/>
      <c r="V447" s="169"/>
      <c r="W447" s="169"/>
      <c r="X447" s="169"/>
      <c r="Y447" s="169"/>
      <c r="Z447" s="169"/>
      <c r="AA447" s="169"/>
      <c r="AB447" s="169"/>
      <c r="AC447" s="169"/>
      <c r="AD447" s="169"/>
      <c r="AE447" s="169"/>
      <c r="AF447" s="169"/>
      <c r="AG447" s="169"/>
      <c r="AH447" s="169"/>
    </row>
    <row r="448" ht="15.75" customHeight="1">
      <c r="A448" s="169"/>
      <c r="B448" s="38" t="s">
        <v>1031</v>
      </c>
      <c r="C448" s="191" t="s">
        <v>4016</v>
      </c>
      <c r="D448" s="40" t="s">
        <v>4022</v>
      </c>
      <c r="E448" s="40" t="s">
        <v>3890</v>
      </c>
      <c r="F448" s="40" t="s">
        <v>1041</v>
      </c>
      <c r="G448" s="39" t="s">
        <v>1035</v>
      </c>
      <c r="H448" s="42" t="s">
        <v>4017</v>
      </c>
      <c r="I448" s="188">
        <v>44524.0</v>
      </c>
      <c r="J448" s="188">
        <v>44589.0</v>
      </c>
      <c r="K448" s="189">
        <v>4410.0</v>
      </c>
      <c r="L448" s="203"/>
      <c r="M448" s="204" t="s">
        <v>4023</v>
      </c>
      <c r="N448" s="42" t="s">
        <v>4024</v>
      </c>
      <c r="O448" s="169"/>
      <c r="P448" s="169"/>
      <c r="Q448" s="169"/>
      <c r="R448" s="169"/>
      <c r="S448" s="169"/>
      <c r="T448" s="169"/>
      <c r="U448" s="169"/>
      <c r="V448" s="169"/>
      <c r="W448" s="169"/>
      <c r="X448" s="169"/>
      <c r="Y448" s="169"/>
      <c r="Z448" s="169"/>
      <c r="AA448" s="169"/>
      <c r="AB448" s="169"/>
      <c r="AC448" s="169"/>
      <c r="AD448" s="169"/>
      <c r="AE448" s="169"/>
      <c r="AF448" s="169"/>
      <c r="AG448" s="169"/>
      <c r="AH448" s="169"/>
    </row>
    <row r="449" ht="15.75" customHeight="1">
      <c r="A449" s="169"/>
      <c r="B449" s="38" t="s">
        <v>1031</v>
      </c>
      <c r="C449" s="191" t="s">
        <v>4021</v>
      </c>
      <c r="D449" s="40" t="s">
        <v>4025</v>
      </c>
      <c r="E449" s="40" t="s">
        <v>3890</v>
      </c>
      <c r="F449" s="40" t="s">
        <v>1041</v>
      </c>
      <c r="G449" s="39" t="s">
        <v>1035</v>
      </c>
      <c r="H449" s="42" t="s">
        <v>4026</v>
      </c>
      <c r="I449" s="188">
        <v>44524.0</v>
      </c>
      <c r="J449" s="188">
        <v>44589.0</v>
      </c>
      <c r="K449" s="189">
        <v>4612.0</v>
      </c>
      <c r="L449" s="203"/>
      <c r="M449" s="204" t="s">
        <v>4023</v>
      </c>
      <c r="N449" s="42" t="s">
        <v>4024</v>
      </c>
      <c r="O449" s="169"/>
      <c r="P449" s="169"/>
      <c r="Q449" s="169"/>
      <c r="R449" s="169"/>
      <c r="S449" s="169"/>
      <c r="T449" s="169"/>
      <c r="U449" s="169"/>
      <c r="V449" s="169"/>
      <c r="W449" s="169"/>
      <c r="X449" s="169"/>
      <c r="Y449" s="169"/>
      <c r="Z449" s="169"/>
      <c r="AA449" s="169"/>
      <c r="AB449" s="169"/>
      <c r="AC449" s="169"/>
      <c r="AD449" s="169"/>
      <c r="AE449" s="169"/>
      <c r="AF449" s="169"/>
      <c r="AG449" s="169"/>
      <c r="AH449" s="169"/>
    </row>
    <row r="450" ht="15.75" customHeight="1">
      <c r="A450" s="169"/>
      <c r="B450" s="38" t="s">
        <v>1031</v>
      </c>
      <c r="C450" s="191" t="s">
        <v>4027</v>
      </c>
      <c r="D450" s="40" t="s">
        <v>1101</v>
      </c>
      <c r="E450" s="40" t="s">
        <v>3890</v>
      </c>
      <c r="F450" s="40" t="s">
        <v>1034</v>
      </c>
      <c r="G450" s="39" t="s">
        <v>1035</v>
      </c>
      <c r="H450" s="42" t="s">
        <v>4028</v>
      </c>
      <c r="I450" s="188">
        <v>44494.0</v>
      </c>
      <c r="J450" s="188">
        <v>44559.0</v>
      </c>
      <c r="K450" s="189">
        <v>456.0</v>
      </c>
      <c r="L450" s="19"/>
      <c r="M450" s="192" t="s">
        <v>1100</v>
      </c>
      <c r="N450" s="119" t="s">
        <v>4029</v>
      </c>
      <c r="O450" s="169"/>
      <c r="P450" s="169"/>
      <c r="Q450" s="169"/>
      <c r="R450" s="169"/>
      <c r="S450" s="169"/>
      <c r="T450" s="169"/>
      <c r="U450" s="169"/>
      <c r="V450" s="169"/>
      <c r="W450" s="169"/>
      <c r="X450" s="169"/>
      <c r="Y450" s="169"/>
      <c r="Z450" s="169"/>
      <c r="AA450" s="169"/>
      <c r="AB450" s="169"/>
      <c r="AC450" s="169"/>
      <c r="AD450" s="169"/>
      <c r="AE450" s="169"/>
      <c r="AF450" s="169"/>
      <c r="AG450" s="169"/>
      <c r="AH450" s="169"/>
    </row>
    <row r="451" ht="15.75" customHeight="1">
      <c r="A451" s="169"/>
      <c r="B451" s="38" t="s">
        <v>1031</v>
      </c>
      <c r="C451" s="191" t="s">
        <v>4030</v>
      </c>
      <c r="D451" s="40" t="s">
        <v>4031</v>
      </c>
      <c r="E451" s="40" t="s">
        <v>3890</v>
      </c>
      <c r="F451" s="40" t="s">
        <v>1034</v>
      </c>
      <c r="G451" s="39" t="s">
        <v>1035</v>
      </c>
      <c r="H451" s="42" t="s">
        <v>4032</v>
      </c>
      <c r="I451" s="188">
        <v>44494.0</v>
      </c>
      <c r="J451" s="188">
        <v>44559.0</v>
      </c>
      <c r="K451" s="189">
        <v>589.0</v>
      </c>
      <c r="L451" s="19"/>
      <c r="M451" s="192" t="s">
        <v>4033</v>
      </c>
      <c r="N451" s="42" t="s">
        <v>4034</v>
      </c>
      <c r="O451" s="169"/>
      <c r="P451" s="169"/>
      <c r="Q451" s="169"/>
      <c r="R451" s="169"/>
      <c r="S451" s="169"/>
      <c r="T451" s="169"/>
      <c r="U451" s="169"/>
      <c r="V451" s="169"/>
      <c r="W451" s="169"/>
      <c r="X451" s="169"/>
      <c r="Y451" s="169"/>
      <c r="Z451" s="169"/>
      <c r="AA451" s="169"/>
      <c r="AB451" s="169"/>
      <c r="AC451" s="169"/>
      <c r="AD451" s="169"/>
      <c r="AE451" s="169"/>
      <c r="AF451" s="169"/>
      <c r="AG451" s="169"/>
      <c r="AH451" s="169"/>
    </row>
    <row r="452" ht="15.75" customHeight="1">
      <c r="A452" s="169"/>
      <c r="B452" s="38" t="s">
        <v>1031</v>
      </c>
      <c r="C452" s="191" t="s">
        <v>4035</v>
      </c>
      <c r="D452" s="40" t="s">
        <v>4036</v>
      </c>
      <c r="E452" s="40" t="s">
        <v>3890</v>
      </c>
      <c r="F452" s="40" t="s">
        <v>1083</v>
      </c>
      <c r="G452" s="39" t="s">
        <v>1035</v>
      </c>
      <c r="H452" s="42" t="s">
        <v>4037</v>
      </c>
      <c r="I452" s="188">
        <v>44494.0</v>
      </c>
      <c r="J452" s="188">
        <v>44559.0</v>
      </c>
      <c r="K452" s="189">
        <v>748.0</v>
      </c>
      <c r="L452" s="19"/>
      <c r="M452" s="192" t="s">
        <v>1081</v>
      </c>
      <c r="N452" s="42" t="s">
        <v>4038</v>
      </c>
      <c r="O452" s="169"/>
      <c r="P452" s="169"/>
      <c r="Q452" s="169"/>
      <c r="R452" s="169"/>
      <c r="S452" s="169"/>
      <c r="T452" s="169"/>
      <c r="U452" s="169"/>
      <c r="V452" s="169"/>
      <c r="W452" s="169"/>
      <c r="X452" s="169"/>
      <c r="Y452" s="169"/>
      <c r="Z452" s="169"/>
      <c r="AA452" s="169"/>
      <c r="AB452" s="169"/>
      <c r="AC452" s="169"/>
      <c r="AD452" s="169"/>
      <c r="AE452" s="169"/>
      <c r="AF452" s="169"/>
      <c r="AG452" s="169"/>
      <c r="AH452" s="169"/>
    </row>
    <row r="453" ht="15.75" customHeight="1">
      <c r="A453" s="169"/>
      <c r="B453" s="38" t="s">
        <v>1031</v>
      </c>
      <c r="C453" s="191" t="s">
        <v>4039</v>
      </c>
      <c r="D453" s="40" t="s">
        <v>4040</v>
      </c>
      <c r="E453" s="40" t="s">
        <v>3890</v>
      </c>
      <c r="F453" s="40" t="s">
        <v>1083</v>
      </c>
      <c r="G453" s="39" t="s">
        <v>1035</v>
      </c>
      <c r="H453" s="42" t="s">
        <v>4041</v>
      </c>
      <c r="I453" s="188">
        <v>44494.0</v>
      </c>
      <c r="J453" s="188">
        <v>44559.0</v>
      </c>
      <c r="K453" s="189">
        <v>881.0</v>
      </c>
      <c r="L453" s="19"/>
      <c r="M453" s="192" t="s">
        <v>4042</v>
      </c>
      <c r="N453" s="42" t="s">
        <v>4043</v>
      </c>
      <c r="O453" s="169"/>
      <c r="P453" s="169"/>
      <c r="Q453" s="169"/>
      <c r="R453" s="169"/>
      <c r="S453" s="169"/>
      <c r="T453" s="169"/>
      <c r="U453" s="169"/>
      <c r="V453" s="169"/>
      <c r="W453" s="169"/>
      <c r="X453" s="169"/>
      <c r="Y453" s="169"/>
      <c r="Z453" s="169"/>
      <c r="AA453" s="169"/>
      <c r="AB453" s="169"/>
      <c r="AC453" s="169"/>
      <c r="AD453" s="169"/>
      <c r="AE453" s="169"/>
      <c r="AF453" s="169"/>
      <c r="AG453" s="169"/>
      <c r="AH453" s="169"/>
    </row>
    <row r="454" ht="15.75" customHeight="1">
      <c r="A454" s="169"/>
      <c r="B454" s="38" t="s">
        <v>1031</v>
      </c>
      <c r="C454" s="191" t="s">
        <v>4044</v>
      </c>
      <c r="D454" s="40" t="s">
        <v>4045</v>
      </c>
      <c r="E454" s="40" t="s">
        <v>3890</v>
      </c>
      <c r="F454" s="40" t="s">
        <v>1083</v>
      </c>
      <c r="G454" s="39" t="s">
        <v>1035</v>
      </c>
      <c r="H454" s="42" t="s">
        <v>4046</v>
      </c>
      <c r="I454" s="188">
        <v>44494.0</v>
      </c>
      <c r="J454" s="188">
        <v>44559.0</v>
      </c>
      <c r="K454" s="189">
        <v>1114.0</v>
      </c>
      <c r="L454" s="19"/>
      <c r="M454" s="192" t="s">
        <v>4042</v>
      </c>
      <c r="N454" s="42" t="s">
        <v>4043</v>
      </c>
      <c r="O454" s="169"/>
      <c r="P454" s="169"/>
      <c r="Q454" s="169"/>
      <c r="R454" s="169"/>
      <c r="S454" s="169"/>
      <c r="T454" s="169"/>
      <c r="U454" s="169"/>
      <c r="V454" s="169"/>
      <c r="W454" s="169"/>
      <c r="X454" s="169"/>
      <c r="Y454" s="169"/>
      <c r="Z454" s="169"/>
      <c r="AA454" s="169"/>
      <c r="AB454" s="169"/>
      <c r="AC454" s="169"/>
      <c r="AD454" s="169"/>
      <c r="AE454" s="169"/>
      <c r="AF454" s="169"/>
      <c r="AG454" s="169"/>
      <c r="AH454" s="169"/>
    </row>
    <row r="455" ht="15.75" customHeight="1">
      <c r="A455" s="169"/>
      <c r="B455" s="38" t="s">
        <v>1031</v>
      </c>
      <c r="C455" s="191" t="s">
        <v>4047</v>
      </c>
      <c r="D455" s="40" t="s">
        <v>4048</v>
      </c>
      <c r="E455" s="40" t="s">
        <v>3890</v>
      </c>
      <c r="F455" s="40" t="s">
        <v>1083</v>
      </c>
      <c r="G455" s="39" t="s">
        <v>1035</v>
      </c>
      <c r="H455" s="42" t="s">
        <v>4049</v>
      </c>
      <c r="I455" s="188">
        <v>44494.0</v>
      </c>
      <c r="J455" s="188">
        <v>44559.0</v>
      </c>
      <c r="K455" s="189">
        <v>1320.0</v>
      </c>
      <c r="L455" s="19"/>
      <c r="M455" s="192" t="s">
        <v>4042</v>
      </c>
      <c r="N455" s="119" t="s">
        <v>4043</v>
      </c>
      <c r="O455" s="169"/>
      <c r="P455" s="169"/>
      <c r="Q455" s="169"/>
      <c r="R455" s="169"/>
      <c r="S455" s="169"/>
      <c r="T455" s="169"/>
      <c r="U455" s="169"/>
      <c r="V455" s="169"/>
      <c r="W455" s="169"/>
      <c r="X455" s="169"/>
      <c r="Y455" s="169"/>
      <c r="Z455" s="169"/>
      <c r="AA455" s="169"/>
      <c r="AB455" s="169"/>
      <c r="AC455" s="169"/>
      <c r="AD455" s="169"/>
      <c r="AE455" s="169"/>
      <c r="AF455" s="169"/>
      <c r="AG455" s="169"/>
      <c r="AH455" s="169"/>
    </row>
    <row r="456" ht="15.75" customHeight="1">
      <c r="A456" s="169"/>
      <c r="B456" s="38" t="s">
        <v>118</v>
      </c>
      <c r="C456" s="191" t="s">
        <v>4050</v>
      </c>
      <c r="D456" s="40" t="s">
        <v>4051</v>
      </c>
      <c r="E456" s="40" t="s">
        <v>3890</v>
      </c>
      <c r="F456" s="40" t="s">
        <v>623</v>
      </c>
      <c r="G456" s="39" t="s">
        <v>184</v>
      </c>
      <c r="H456" s="48" t="s">
        <v>4052</v>
      </c>
      <c r="I456" s="188">
        <v>44800.0</v>
      </c>
      <c r="J456" s="188">
        <v>44865.0</v>
      </c>
      <c r="K456" s="189">
        <v>2556.0</v>
      </c>
      <c r="L456" s="169"/>
      <c r="M456" s="192" t="s">
        <v>2893</v>
      </c>
      <c r="N456" s="42"/>
      <c r="O456" s="169"/>
      <c r="P456" s="169"/>
      <c r="Q456" s="169"/>
      <c r="R456" s="169"/>
      <c r="S456" s="169"/>
      <c r="T456" s="169"/>
      <c r="U456" s="169"/>
      <c r="V456" s="169"/>
      <c r="W456" s="169"/>
      <c r="X456" s="169"/>
      <c r="Y456" s="169"/>
      <c r="Z456" s="169"/>
      <c r="AA456" s="169"/>
      <c r="AB456" s="169"/>
      <c r="AC456" s="169"/>
      <c r="AD456" s="169"/>
      <c r="AE456" s="169"/>
      <c r="AF456" s="169"/>
      <c r="AG456" s="169"/>
      <c r="AH456" s="169"/>
    </row>
    <row r="457" ht="15.75" customHeight="1">
      <c r="A457" s="169"/>
      <c r="B457" s="38" t="s">
        <v>2061</v>
      </c>
      <c r="C457" s="191" t="s">
        <v>4053</v>
      </c>
      <c r="D457" s="48" t="s">
        <v>4054</v>
      </c>
      <c r="E457" s="198"/>
      <c r="F457" s="198"/>
      <c r="G457" s="198"/>
      <c r="H457" s="48" t="s">
        <v>4054</v>
      </c>
      <c r="I457" s="188">
        <v>44865.0</v>
      </c>
      <c r="J457" s="188">
        <v>44895.0</v>
      </c>
      <c r="K457" s="189">
        <v>110.0</v>
      </c>
      <c r="L457" s="169"/>
      <c r="M457" s="192" t="s">
        <v>2062</v>
      </c>
      <c r="N457" s="42" t="s">
        <v>4055</v>
      </c>
      <c r="O457" s="169"/>
      <c r="P457" s="169"/>
      <c r="Q457" s="169"/>
      <c r="R457" s="169"/>
      <c r="S457" s="169"/>
      <c r="T457" s="169"/>
      <c r="U457" s="169"/>
      <c r="V457" s="169"/>
      <c r="W457" s="169"/>
      <c r="X457" s="169"/>
      <c r="Y457" s="169"/>
      <c r="Z457" s="169"/>
      <c r="AA457" s="169"/>
      <c r="AB457" s="169"/>
      <c r="AC457" s="169"/>
      <c r="AD457" s="169"/>
      <c r="AE457" s="169"/>
      <c r="AF457" s="169"/>
      <c r="AG457" s="169"/>
      <c r="AH457" s="169"/>
    </row>
    <row r="458" ht="15.75" customHeight="1">
      <c r="A458" s="169"/>
      <c r="B458" s="38" t="s">
        <v>118</v>
      </c>
      <c r="C458" s="191" t="s">
        <v>4056</v>
      </c>
      <c r="D458" s="40" t="s">
        <v>525</v>
      </c>
      <c r="E458" s="40" t="s">
        <v>3378</v>
      </c>
      <c r="F458" s="40" t="s">
        <v>414</v>
      </c>
      <c r="G458" s="39" t="s">
        <v>255</v>
      </c>
      <c r="H458" s="48" t="s">
        <v>3415</v>
      </c>
      <c r="I458" s="188">
        <v>44895.0</v>
      </c>
      <c r="J458" s="188">
        <v>44957.0</v>
      </c>
      <c r="K458" s="189">
        <v>396.0</v>
      </c>
      <c r="L458" s="169"/>
      <c r="M458" s="192" t="s">
        <v>4057</v>
      </c>
      <c r="N458" s="42" t="s">
        <v>4058</v>
      </c>
      <c r="O458" s="169"/>
      <c r="P458" s="169"/>
      <c r="Q458" s="169"/>
      <c r="R458" s="169"/>
      <c r="S458" s="169"/>
      <c r="T458" s="169"/>
      <c r="U458" s="169"/>
      <c r="V458" s="169"/>
      <c r="W458" s="169"/>
      <c r="X458" s="169"/>
      <c r="Y458" s="169"/>
      <c r="Z458" s="169"/>
      <c r="AA458" s="169"/>
      <c r="AB458" s="169"/>
      <c r="AC458" s="169"/>
      <c r="AD458" s="169"/>
      <c r="AE458" s="169"/>
      <c r="AF458" s="169"/>
      <c r="AG458" s="169"/>
      <c r="AH458" s="169"/>
    </row>
    <row r="459" ht="15.75" customHeight="1">
      <c r="A459" s="169"/>
      <c r="B459" s="38" t="s">
        <v>2222</v>
      </c>
      <c r="C459" s="191" t="s">
        <v>3834</v>
      </c>
      <c r="D459" s="40" t="s">
        <v>3833</v>
      </c>
      <c r="E459" s="40"/>
      <c r="F459" s="40"/>
      <c r="G459" s="39"/>
      <c r="H459" s="42" t="s">
        <v>3825</v>
      </c>
      <c r="I459" s="188">
        <v>44332.0</v>
      </c>
      <c r="J459" s="188">
        <v>44397.0</v>
      </c>
      <c r="K459" s="189">
        <v>2002.0</v>
      </c>
      <c r="L459" s="169"/>
      <c r="M459" s="192" t="s">
        <v>4059</v>
      </c>
      <c r="N459" s="42" t="s">
        <v>3825</v>
      </c>
      <c r="O459" s="169"/>
      <c r="P459" s="169"/>
      <c r="Q459" s="169"/>
      <c r="R459" s="169"/>
      <c r="S459" s="169"/>
      <c r="T459" s="169"/>
      <c r="U459" s="169"/>
      <c r="V459" s="169"/>
      <c r="W459" s="169"/>
      <c r="X459" s="169"/>
      <c r="Y459" s="169"/>
      <c r="Z459" s="169"/>
      <c r="AA459" s="169"/>
      <c r="AB459" s="169"/>
      <c r="AC459" s="169"/>
      <c r="AD459" s="169"/>
      <c r="AE459" s="169"/>
      <c r="AF459" s="169"/>
      <c r="AG459" s="169"/>
      <c r="AH459" s="169"/>
    </row>
    <row r="460" ht="15.75" customHeight="1">
      <c r="A460" s="169"/>
      <c r="B460" s="38" t="s">
        <v>2222</v>
      </c>
      <c r="C460" s="191" t="s">
        <v>3837</v>
      </c>
      <c r="D460" s="40" t="s">
        <v>3836</v>
      </c>
      <c r="E460" s="40"/>
      <c r="F460" s="40"/>
      <c r="G460" s="39"/>
      <c r="H460" s="42" t="s">
        <v>3818</v>
      </c>
      <c r="I460" s="188">
        <v>44332.0</v>
      </c>
      <c r="J460" s="188">
        <v>44397.0</v>
      </c>
      <c r="K460" s="189">
        <v>2534.0</v>
      </c>
      <c r="L460" s="169"/>
      <c r="M460" s="192" t="s">
        <v>4060</v>
      </c>
      <c r="N460" s="42" t="s">
        <v>3818</v>
      </c>
      <c r="O460" s="169"/>
      <c r="P460" s="169"/>
      <c r="Q460" s="169"/>
      <c r="R460" s="169"/>
      <c r="S460" s="169"/>
      <c r="T460" s="169"/>
      <c r="U460" s="169"/>
      <c r="V460" s="169"/>
      <c r="W460" s="169"/>
      <c r="X460" s="169"/>
      <c r="Y460" s="169"/>
      <c r="Z460" s="169"/>
      <c r="AA460" s="169"/>
      <c r="AB460" s="169"/>
      <c r="AC460" s="169"/>
      <c r="AD460" s="169"/>
      <c r="AE460" s="169"/>
      <c r="AF460" s="169"/>
      <c r="AG460" s="169"/>
      <c r="AH460" s="169"/>
    </row>
    <row r="461" ht="15.75" customHeight="1">
      <c r="A461" s="169"/>
      <c r="B461" s="38" t="s">
        <v>2222</v>
      </c>
      <c r="C461" s="191" t="s">
        <v>3822</v>
      </c>
      <c r="D461" s="40" t="s">
        <v>3824</v>
      </c>
      <c r="E461" s="40"/>
      <c r="F461" s="40"/>
      <c r="G461" s="39"/>
      <c r="H461" s="42" t="s">
        <v>2230</v>
      </c>
      <c r="I461" s="188">
        <v>44332.0</v>
      </c>
      <c r="J461" s="188">
        <v>44397.0</v>
      </c>
      <c r="K461" s="189">
        <v>2402.0</v>
      </c>
      <c r="L461" s="169"/>
      <c r="M461" s="192" t="s">
        <v>2227</v>
      </c>
      <c r="N461" s="42" t="s">
        <v>2230</v>
      </c>
      <c r="O461" s="169"/>
      <c r="P461" s="169"/>
      <c r="Q461" s="169"/>
      <c r="R461" s="169"/>
      <c r="S461" s="169"/>
      <c r="T461" s="169"/>
      <c r="U461" s="169"/>
      <c r="V461" s="169"/>
      <c r="W461" s="169"/>
      <c r="X461" s="169"/>
      <c r="Y461" s="169"/>
      <c r="Z461" s="169"/>
      <c r="AA461" s="169"/>
      <c r="AB461" s="169"/>
      <c r="AC461" s="169"/>
      <c r="AD461" s="169"/>
      <c r="AE461" s="169"/>
      <c r="AF461" s="169"/>
      <c r="AG461" s="169"/>
      <c r="AH461" s="169"/>
    </row>
    <row r="462" ht="15.75" customHeight="1">
      <c r="A462" s="169"/>
      <c r="B462" s="38" t="s">
        <v>2222</v>
      </c>
      <c r="C462" s="191" t="s">
        <v>3826</v>
      </c>
      <c r="D462" s="40" t="s">
        <v>3824</v>
      </c>
      <c r="E462" s="40"/>
      <c r="F462" s="40"/>
      <c r="G462" s="39"/>
      <c r="H462" s="42" t="s">
        <v>2246</v>
      </c>
      <c r="I462" s="188">
        <v>44332.0</v>
      </c>
      <c r="J462" s="188">
        <v>44397.0</v>
      </c>
      <c r="K462" s="189">
        <v>2934.0</v>
      </c>
      <c r="L462" s="169"/>
      <c r="M462" s="192" t="s">
        <v>2243</v>
      </c>
      <c r="N462" s="42" t="s">
        <v>2246</v>
      </c>
      <c r="O462" s="169"/>
      <c r="P462" s="169"/>
      <c r="Q462" s="169"/>
      <c r="R462" s="169"/>
      <c r="S462" s="169"/>
      <c r="T462" s="169"/>
      <c r="U462" s="169"/>
      <c r="V462" s="169"/>
      <c r="W462" s="169"/>
      <c r="X462" s="169"/>
      <c r="Y462" s="169"/>
      <c r="Z462" s="169"/>
      <c r="AA462" s="169"/>
      <c r="AB462" s="169"/>
      <c r="AC462" s="169"/>
      <c r="AD462" s="169"/>
      <c r="AE462" s="169"/>
      <c r="AF462" s="169"/>
      <c r="AG462" s="169"/>
      <c r="AH462" s="169"/>
    </row>
    <row r="463" ht="15.75" customHeight="1">
      <c r="A463" s="169"/>
      <c r="B463" s="38" t="s">
        <v>2222</v>
      </c>
      <c r="C463" s="191" t="s">
        <v>3819</v>
      </c>
      <c r="D463" s="40" t="s">
        <v>3817</v>
      </c>
      <c r="E463" s="40"/>
      <c r="F463" s="40"/>
      <c r="G463" s="39"/>
      <c r="H463" s="42" t="s">
        <v>2262</v>
      </c>
      <c r="I463" s="188">
        <v>44332.0</v>
      </c>
      <c r="J463" s="188">
        <v>44397.0</v>
      </c>
      <c r="K463" s="189">
        <v>3998.0</v>
      </c>
      <c r="L463" s="169"/>
      <c r="M463" s="192" t="s">
        <v>2259</v>
      </c>
      <c r="N463" s="42" t="s">
        <v>2262</v>
      </c>
      <c r="O463" s="169"/>
      <c r="P463" s="169"/>
      <c r="Q463" s="169"/>
      <c r="R463" s="169"/>
      <c r="S463" s="169"/>
      <c r="T463" s="169"/>
      <c r="U463" s="169"/>
      <c r="V463" s="169"/>
      <c r="W463" s="169"/>
      <c r="X463" s="169"/>
      <c r="Y463" s="169"/>
      <c r="Z463" s="169"/>
      <c r="AA463" s="169"/>
      <c r="AB463" s="169"/>
      <c r="AC463" s="169"/>
      <c r="AD463" s="169"/>
      <c r="AE463" s="169"/>
      <c r="AF463" s="169"/>
      <c r="AG463" s="169"/>
      <c r="AH463" s="169"/>
    </row>
    <row r="464" ht="15.75" customHeight="1">
      <c r="A464" s="169"/>
      <c r="B464" s="38" t="s">
        <v>76</v>
      </c>
      <c r="C464" s="191" t="s">
        <v>4061</v>
      </c>
      <c r="D464" s="40" t="s">
        <v>4062</v>
      </c>
      <c r="E464" s="40"/>
      <c r="F464" s="40"/>
      <c r="G464" s="39"/>
      <c r="H464" s="42" t="s">
        <v>4063</v>
      </c>
      <c r="I464" s="188">
        <v>44895.0</v>
      </c>
      <c r="J464" s="188">
        <v>44895.0</v>
      </c>
      <c r="K464" s="189">
        <v>150.0</v>
      </c>
      <c r="L464" s="169"/>
      <c r="M464" s="192" t="s">
        <v>4064</v>
      </c>
      <c r="N464" s="42" t="s">
        <v>4065</v>
      </c>
      <c r="O464" s="169"/>
      <c r="P464" s="169"/>
      <c r="Q464" s="169"/>
      <c r="R464" s="169"/>
      <c r="S464" s="169"/>
      <c r="T464" s="169"/>
      <c r="U464" s="169"/>
      <c r="V464" s="169"/>
      <c r="W464" s="169"/>
      <c r="X464" s="169"/>
      <c r="Y464" s="169"/>
      <c r="Z464" s="169"/>
      <c r="AA464" s="169"/>
      <c r="AB464" s="169"/>
      <c r="AC464" s="169"/>
      <c r="AD464" s="169"/>
      <c r="AE464" s="169"/>
      <c r="AF464" s="169"/>
      <c r="AG464" s="169"/>
      <c r="AH464" s="169"/>
    </row>
    <row r="465" ht="15.75" customHeight="1">
      <c r="A465" s="169"/>
      <c r="B465" s="38" t="s">
        <v>76</v>
      </c>
      <c r="C465" s="191" t="s">
        <v>4066</v>
      </c>
      <c r="D465" s="40" t="s">
        <v>4067</v>
      </c>
      <c r="E465" s="40"/>
      <c r="F465" s="40"/>
      <c r="G465" s="39"/>
      <c r="H465" s="42" t="s">
        <v>4068</v>
      </c>
      <c r="I465" s="188">
        <v>44895.0</v>
      </c>
      <c r="J465" s="188">
        <v>44895.0</v>
      </c>
      <c r="K465" s="189">
        <v>189.0</v>
      </c>
      <c r="L465" s="169"/>
      <c r="M465" s="192" t="s">
        <v>4069</v>
      </c>
      <c r="N465" s="42" t="s">
        <v>4070</v>
      </c>
      <c r="O465" s="169"/>
      <c r="P465" s="169"/>
      <c r="Q465" s="169"/>
      <c r="R465" s="169"/>
      <c r="S465" s="169"/>
      <c r="T465" s="169"/>
      <c r="U465" s="169"/>
      <c r="V465" s="169"/>
      <c r="W465" s="169"/>
      <c r="X465" s="169"/>
      <c r="Y465" s="169"/>
      <c r="Z465" s="169"/>
      <c r="AA465" s="169"/>
      <c r="AB465" s="169"/>
      <c r="AC465" s="169"/>
      <c r="AD465" s="169"/>
      <c r="AE465" s="169"/>
      <c r="AF465" s="169"/>
      <c r="AG465" s="169"/>
      <c r="AH465" s="169"/>
    </row>
    <row r="466" ht="15.75" customHeight="1">
      <c r="A466" s="169"/>
      <c r="B466" s="38" t="s">
        <v>76</v>
      </c>
      <c r="C466" s="191" t="s">
        <v>4071</v>
      </c>
      <c r="D466" s="40" t="s">
        <v>4072</v>
      </c>
      <c r="E466" s="40"/>
      <c r="F466" s="40"/>
      <c r="G466" s="39"/>
      <c r="H466" s="42" t="s">
        <v>4073</v>
      </c>
      <c r="I466" s="188">
        <v>44895.0</v>
      </c>
      <c r="J466" s="188">
        <v>44895.0</v>
      </c>
      <c r="K466" s="189">
        <v>228.0</v>
      </c>
      <c r="L466" s="169"/>
      <c r="M466" s="192" t="s">
        <v>4074</v>
      </c>
      <c r="N466" s="42" t="s">
        <v>4075</v>
      </c>
      <c r="O466" s="169"/>
      <c r="P466" s="169"/>
      <c r="Q466" s="169"/>
      <c r="R466" s="169"/>
      <c r="S466" s="169"/>
      <c r="T466" s="169"/>
      <c r="U466" s="169"/>
      <c r="V466" s="169"/>
      <c r="W466" s="169"/>
      <c r="X466" s="169"/>
      <c r="Y466" s="169"/>
      <c r="Z466" s="169"/>
      <c r="AA466" s="169"/>
      <c r="AB466" s="169"/>
      <c r="AC466" s="169"/>
      <c r="AD466" s="169"/>
      <c r="AE466" s="169"/>
      <c r="AF466" s="169"/>
      <c r="AG466" s="169"/>
      <c r="AH466" s="169"/>
    </row>
    <row r="467" ht="15.75" customHeight="1">
      <c r="A467" s="169"/>
      <c r="B467" s="38" t="s">
        <v>76</v>
      </c>
      <c r="C467" s="191" t="s">
        <v>4076</v>
      </c>
      <c r="D467" s="40" t="s">
        <v>4077</v>
      </c>
      <c r="E467" s="40"/>
      <c r="F467" s="40"/>
      <c r="G467" s="39"/>
      <c r="H467" s="42" t="s">
        <v>4078</v>
      </c>
      <c r="I467" s="188">
        <v>44895.0</v>
      </c>
      <c r="J467" s="188">
        <v>44895.0</v>
      </c>
      <c r="K467" s="189">
        <v>148.0</v>
      </c>
      <c r="L467" s="169"/>
      <c r="M467" s="192" t="s">
        <v>4079</v>
      </c>
      <c r="N467" s="42" t="s">
        <v>4080</v>
      </c>
      <c r="O467" s="169"/>
      <c r="P467" s="169"/>
      <c r="Q467" s="169"/>
      <c r="R467" s="169"/>
      <c r="S467" s="169"/>
      <c r="T467" s="169"/>
      <c r="U467" s="169"/>
      <c r="V467" s="169"/>
      <c r="W467" s="169"/>
      <c r="X467" s="169"/>
      <c r="Y467" s="169"/>
      <c r="Z467" s="169"/>
      <c r="AA467" s="169"/>
      <c r="AB467" s="169"/>
      <c r="AC467" s="169"/>
      <c r="AD467" s="169"/>
      <c r="AE467" s="169"/>
      <c r="AF467" s="169"/>
      <c r="AG467" s="169"/>
      <c r="AH467" s="169"/>
    </row>
    <row r="468" ht="15.75" customHeight="1">
      <c r="A468" s="169"/>
      <c r="B468" s="38" t="s">
        <v>76</v>
      </c>
      <c r="C468" s="191" t="s">
        <v>4081</v>
      </c>
      <c r="D468" s="40" t="s">
        <v>4082</v>
      </c>
      <c r="E468" s="40"/>
      <c r="F468" s="40"/>
      <c r="G468" s="39"/>
      <c r="H468" s="42" t="s">
        <v>4083</v>
      </c>
      <c r="I468" s="188">
        <v>44895.0</v>
      </c>
      <c r="J468" s="188">
        <v>44895.0</v>
      </c>
      <c r="K468" s="189">
        <v>187.0</v>
      </c>
      <c r="L468" s="169"/>
      <c r="M468" s="192" t="s">
        <v>4084</v>
      </c>
      <c r="N468" s="42" t="s">
        <v>4085</v>
      </c>
      <c r="O468" s="169"/>
      <c r="P468" s="169"/>
      <c r="Q468" s="169"/>
      <c r="R468" s="169"/>
      <c r="S468" s="169"/>
      <c r="T468" s="169"/>
      <c r="U468" s="169"/>
      <c r="V468" s="169"/>
      <c r="W468" s="169"/>
      <c r="X468" s="169"/>
      <c r="Y468" s="169"/>
      <c r="Z468" s="169"/>
      <c r="AA468" s="169"/>
      <c r="AB468" s="169"/>
      <c r="AC468" s="169"/>
      <c r="AD468" s="169"/>
      <c r="AE468" s="169"/>
      <c r="AF468" s="169"/>
      <c r="AG468" s="169"/>
      <c r="AH468" s="169"/>
    </row>
    <row r="469" ht="15.75" customHeight="1">
      <c r="A469" s="169"/>
      <c r="B469" s="38" t="s">
        <v>76</v>
      </c>
      <c r="C469" s="191" t="s">
        <v>4086</v>
      </c>
      <c r="D469" s="40" t="s">
        <v>4087</v>
      </c>
      <c r="E469" s="40"/>
      <c r="F469" s="40"/>
      <c r="G469" s="39"/>
      <c r="H469" s="42" t="s">
        <v>4088</v>
      </c>
      <c r="I469" s="188">
        <v>44895.0</v>
      </c>
      <c r="J469" s="188">
        <v>44895.0</v>
      </c>
      <c r="K469" s="189">
        <v>225.0</v>
      </c>
      <c r="L469" s="169"/>
      <c r="M469" s="192" t="s">
        <v>4089</v>
      </c>
      <c r="N469" s="42" t="s">
        <v>4090</v>
      </c>
      <c r="O469" s="169"/>
      <c r="P469" s="169"/>
      <c r="Q469" s="169"/>
      <c r="R469" s="169"/>
      <c r="S469" s="169"/>
      <c r="T469" s="169"/>
      <c r="U469" s="169"/>
      <c r="V469" s="169"/>
      <c r="W469" s="169"/>
      <c r="X469" s="169"/>
      <c r="Y469" s="169"/>
      <c r="Z469" s="169"/>
      <c r="AA469" s="169"/>
      <c r="AB469" s="169"/>
      <c r="AC469" s="169"/>
      <c r="AD469" s="169"/>
      <c r="AE469" s="169"/>
      <c r="AF469" s="169"/>
      <c r="AG469" s="169"/>
      <c r="AH469" s="169"/>
    </row>
    <row r="470" ht="15.75" customHeight="1">
      <c r="A470" s="169"/>
      <c r="B470" s="38" t="s">
        <v>1139</v>
      </c>
      <c r="C470" s="191" t="s">
        <v>4091</v>
      </c>
      <c r="D470" s="40" t="s">
        <v>4092</v>
      </c>
      <c r="E470" s="40"/>
      <c r="F470" s="40"/>
      <c r="G470" s="39"/>
      <c r="H470" s="42" t="s">
        <v>4093</v>
      </c>
      <c r="I470" s="188">
        <v>44861.0</v>
      </c>
      <c r="J470" s="188">
        <v>44926.0</v>
      </c>
      <c r="K470" s="189">
        <v>868.0</v>
      </c>
      <c r="L470" s="169"/>
      <c r="M470" s="192" t="s">
        <v>2893</v>
      </c>
      <c r="N470" s="42"/>
      <c r="O470" s="169"/>
      <c r="P470" s="169"/>
      <c r="Q470" s="169"/>
      <c r="R470" s="169"/>
      <c r="S470" s="169"/>
      <c r="T470" s="169"/>
      <c r="U470" s="169"/>
      <c r="V470" s="169"/>
      <c r="W470" s="169"/>
      <c r="X470" s="169"/>
      <c r="Y470" s="169"/>
      <c r="Z470" s="169"/>
      <c r="AA470" s="169"/>
      <c r="AB470" s="169"/>
      <c r="AC470" s="169"/>
      <c r="AD470" s="169"/>
      <c r="AE470" s="169"/>
      <c r="AF470" s="169"/>
      <c r="AG470" s="169"/>
      <c r="AH470" s="169"/>
    </row>
    <row r="471" ht="15.75" customHeight="1">
      <c r="A471" s="169"/>
      <c r="B471" s="38" t="s">
        <v>1031</v>
      </c>
      <c r="C471" s="191" t="s">
        <v>4094</v>
      </c>
      <c r="D471" s="40" t="s">
        <v>4095</v>
      </c>
      <c r="E471" s="40"/>
      <c r="F471" s="40"/>
      <c r="G471" s="39" t="s">
        <v>4096</v>
      </c>
      <c r="H471" s="42" t="s">
        <v>4097</v>
      </c>
      <c r="I471" s="188">
        <v>44926.0</v>
      </c>
      <c r="J471" s="188">
        <v>45046.0</v>
      </c>
      <c r="K471" s="189">
        <v>753.0</v>
      </c>
      <c r="L471" s="169"/>
      <c r="M471" s="192" t="s">
        <v>2893</v>
      </c>
      <c r="N471" s="42"/>
      <c r="O471" s="169"/>
      <c r="P471" s="169"/>
      <c r="Q471" s="169"/>
      <c r="R471" s="169"/>
      <c r="S471" s="169"/>
      <c r="T471" s="169"/>
      <c r="U471" s="169"/>
      <c r="V471" s="169"/>
      <c r="W471" s="169"/>
      <c r="X471" s="169"/>
      <c r="Y471" s="169"/>
      <c r="Z471" s="169"/>
      <c r="AA471" s="169"/>
      <c r="AB471" s="169"/>
      <c r="AC471" s="169"/>
      <c r="AD471" s="169"/>
      <c r="AE471" s="169"/>
      <c r="AF471" s="169"/>
      <c r="AG471" s="169"/>
      <c r="AH471" s="169"/>
    </row>
    <row r="472" ht="15.75" customHeight="1">
      <c r="A472" s="169"/>
      <c r="B472" s="38" t="s">
        <v>1031</v>
      </c>
      <c r="C472" s="191" t="s">
        <v>4098</v>
      </c>
      <c r="D472" s="40" t="s">
        <v>4099</v>
      </c>
      <c r="E472" s="40"/>
      <c r="F472" s="40"/>
      <c r="G472" s="39" t="s">
        <v>4096</v>
      </c>
      <c r="H472" s="42" t="s">
        <v>4100</v>
      </c>
      <c r="I472" s="188">
        <v>44926.0</v>
      </c>
      <c r="J472" s="188">
        <v>45046.0</v>
      </c>
      <c r="K472" s="189">
        <v>555.0</v>
      </c>
      <c r="L472" s="169"/>
      <c r="M472" s="192" t="s">
        <v>2893</v>
      </c>
      <c r="N472" s="42"/>
      <c r="O472" s="169"/>
      <c r="P472" s="169"/>
      <c r="Q472" s="169"/>
      <c r="R472" s="169"/>
      <c r="S472" s="169"/>
      <c r="T472" s="169"/>
      <c r="U472" s="169"/>
      <c r="V472" s="169"/>
      <c r="W472" s="169"/>
      <c r="X472" s="169"/>
      <c r="Y472" s="169"/>
      <c r="Z472" s="169"/>
      <c r="AA472" s="169"/>
      <c r="AB472" s="169"/>
      <c r="AC472" s="169"/>
      <c r="AD472" s="169"/>
      <c r="AE472" s="169"/>
      <c r="AF472" s="169"/>
      <c r="AG472" s="169"/>
      <c r="AH472" s="169"/>
    </row>
    <row r="473" ht="15.75" customHeight="1">
      <c r="A473" s="169"/>
      <c r="B473" s="38" t="s">
        <v>2020</v>
      </c>
      <c r="C473" s="191" t="s">
        <v>3531</v>
      </c>
      <c r="D473" s="40" t="s">
        <v>4101</v>
      </c>
      <c r="E473" s="40"/>
      <c r="F473" s="40"/>
      <c r="G473" s="39" t="s">
        <v>2020</v>
      </c>
      <c r="H473" s="42" t="s">
        <v>4102</v>
      </c>
      <c r="I473" s="188">
        <v>44926.0</v>
      </c>
      <c r="J473" s="188">
        <v>44926.0</v>
      </c>
      <c r="K473" s="189">
        <v>470.0</v>
      </c>
      <c r="L473" s="169"/>
      <c r="M473" s="192" t="s">
        <v>4103</v>
      </c>
      <c r="N473" s="42" t="s">
        <v>4104</v>
      </c>
      <c r="O473" s="169"/>
      <c r="P473" s="169"/>
      <c r="Q473" s="169"/>
      <c r="R473" s="169"/>
      <c r="S473" s="169"/>
      <c r="T473" s="169"/>
      <c r="U473" s="169"/>
      <c r="V473" s="169"/>
      <c r="W473" s="169"/>
      <c r="X473" s="169"/>
      <c r="Y473" s="169"/>
      <c r="Z473" s="169"/>
      <c r="AA473" s="169"/>
      <c r="AB473" s="169"/>
      <c r="AC473" s="169"/>
      <c r="AD473" s="169"/>
      <c r="AE473" s="169"/>
      <c r="AF473" s="169"/>
      <c r="AG473" s="169"/>
      <c r="AH473" s="169"/>
    </row>
    <row r="474" ht="15.75" customHeight="1">
      <c r="A474" s="169"/>
      <c r="B474" s="38" t="s">
        <v>2020</v>
      </c>
      <c r="C474" s="191" t="s">
        <v>4105</v>
      </c>
      <c r="D474" s="40" t="s">
        <v>4106</v>
      </c>
      <c r="E474" s="40"/>
      <c r="F474" s="40"/>
      <c r="G474" s="39" t="s">
        <v>2020</v>
      </c>
      <c r="H474" s="42" t="s">
        <v>4107</v>
      </c>
      <c r="I474" s="188">
        <v>44926.0</v>
      </c>
      <c r="J474" s="188">
        <v>44926.0</v>
      </c>
      <c r="K474" s="189">
        <v>610.0</v>
      </c>
      <c r="L474" s="169"/>
      <c r="M474" s="192" t="s">
        <v>4108</v>
      </c>
      <c r="N474" s="42" t="s">
        <v>4109</v>
      </c>
      <c r="O474" s="169"/>
      <c r="P474" s="169"/>
      <c r="Q474" s="169"/>
      <c r="R474" s="169"/>
      <c r="S474" s="169"/>
      <c r="T474" s="169"/>
      <c r="U474" s="169"/>
      <c r="V474" s="169"/>
      <c r="W474" s="169"/>
      <c r="X474" s="169"/>
      <c r="Y474" s="169"/>
      <c r="Z474" s="169"/>
      <c r="AA474" s="169"/>
      <c r="AB474" s="169"/>
      <c r="AC474" s="169"/>
      <c r="AD474" s="169"/>
      <c r="AE474" s="169"/>
      <c r="AF474" s="169"/>
      <c r="AG474" s="169"/>
      <c r="AH474" s="169"/>
    </row>
    <row r="475" ht="15.75" customHeight="1">
      <c r="A475" s="169"/>
      <c r="B475" s="38" t="s">
        <v>2020</v>
      </c>
      <c r="C475" s="191" t="s">
        <v>2477</v>
      </c>
      <c r="D475" s="40" t="s">
        <v>2478</v>
      </c>
      <c r="E475" s="40"/>
      <c r="F475" s="40"/>
      <c r="G475" s="39" t="s">
        <v>2020</v>
      </c>
      <c r="H475" s="42" t="s">
        <v>4110</v>
      </c>
      <c r="I475" s="188">
        <v>44926.0</v>
      </c>
      <c r="J475" s="188">
        <v>44926.0</v>
      </c>
      <c r="K475" s="189">
        <v>750.0</v>
      </c>
      <c r="L475" s="169"/>
      <c r="M475" s="192" t="s">
        <v>4111</v>
      </c>
      <c r="N475" s="42" t="s">
        <v>2480</v>
      </c>
      <c r="O475" s="169"/>
      <c r="P475" s="169"/>
      <c r="Q475" s="169"/>
      <c r="R475" s="169"/>
      <c r="S475" s="169"/>
      <c r="T475" s="169"/>
      <c r="U475" s="169"/>
      <c r="V475" s="169"/>
      <c r="W475" s="169"/>
      <c r="X475" s="169"/>
      <c r="Y475" s="169"/>
      <c r="Z475" s="169"/>
      <c r="AA475" s="169"/>
      <c r="AB475" s="169"/>
      <c r="AC475" s="169"/>
      <c r="AD475" s="169"/>
      <c r="AE475" s="169"/>
      <c r="AF475" s="169"/>
      <c r="AG475" s="169"/>
      <c r="AH475" s="169"/>
    </row>
    <row r="476" ht="15.75" customHeight="1">
      <c r="A476" s="169"/>
      <c r="B476" s="38" t="s">
        <v>2020</v>
      </c>
      <c r="C476" s="191" t="s">
        <v>4112</v>
      </c>
      <c r="D476" s="40" t="s">
        <v>3216</v>
      </c>
      <c r="E476" s="40"/>
      <c r="F476" s="40"/>
      <c r="G476" s="39" t="s">
        <v>2020</v>
      </c>
      <c r="H476" s="42" t="s">
        <v>4113</v>
      </c>
      <c r="I476" s="188">
        <v>44926.0</v>
      </c>
      <c r="J476" s="188">
        <v>44926.0</v>
      </c>
      <c r="K476" s="189">
        <v>4820.0</v>
      </c>
      <c r="L476" s="169"/>
      <c r="M476" s="192" t="s">
        <v>2515</v>
      </c>
      <c r="N476" s="42" t="s">
        <v>2518</v>
      </c>
      <c r="O476" s="169"/>
      <c r="P476" s="169"/>
      <c r="Q476" s="169"/>
      <c r="R476" s="169"/>
      <c r="S476" s="169"/>
      <c r="T476" s="169"/>
      <c r="U476" s="169"/>
      <c r="V476" s="169"/>
      <c r="W476" s="169"/>
      <c r="X476" s="169"/>
      <c r="Y476" s="169"/>
      <c r="Z476" s="169"/>
      <c r="AA476" s="169"/>
      <c r="AB476" s="169"/>
      <c r="AC476" s="169"/>
      <c r="AD476" s="169"/>
      <c r="AE476" s="169"/>
      <c r="AF476" s="169"/>
      <c r="AG476" s="169"/>
      <c r="AH476" s="169"/>
    </row>
    <row r="477" ht="15.75" customHeight="1">
      <c r="A477" s="169"/>
      <c r="B477" s="38" t="s">
        <v>2020</v>
      </c>
      <c r="C477" s="191" t="s">
        <v>3221</v>
      </c>
      <c r="D477" s="40" t="s">
        <v>4114</v>
      </c>
      <c r="E477" s="40"/>
      <c r="F477" s="40"/>
      <c r="G477" s="39" t="s">
        <v>2020</v>
      </c>
      <c r="H477" s="42" t="s">
        <v>3220</v>
      </c>
      <c r="I477" s="188">
        <v>44926.0</v>
      </c>
      <c r="J477" s="188">
        <v>44926.0</v>
      </c>
      <c r="K477" s="189">
        <v>7030.0</v>
      </c>
      <c r="L477" s="169"/>
      <c r="M477" s="192" t="s">
        <v>4115</v>
      </c>
      <c r="N477" s="42" t="s">
        <v>4116</v>
      </c>
      <c r="O477" s="169"/>
      <c r="P477" s="169"/>
      <c r="Q477" s="169"/>
      <c r="R477" s="169"/>
      <c r="S477" s="169"/>
      <c r="T477" s="169"/>
      <c r="U477" s="169"/>
      <c r="V477" s="169"/>
      <c r="W477" s="169"/>
      <c r="X477" s="169"/>
      <c r="Y477" s="169"/>
      <c r="Z477" s="169"/>
      <c r="AA477" s="169"/>
      <c r="AB477" s="169"/>
      <c r="AC477" s="169"/>
      <c r="AD477" s="169"/>
      <c r="AE477" s="169"/>
      <c r="AF477" s="169"/>
      <c r="AG477" s="169"/>
      <c r="AH477" s="169"/>
    </row>
    <row r="478" ht="15.75" customHeight="1">
      <c r="A478" s="169"/>
      <c r="B478" s="38" t="s">
        <v>2020</v>
      </c>
      <c r="C478" s="191" t="s">
        <v>3218</v>
      </c>
      <c r="D478" s="40" t="s">
        <v>4114</v>
      </c>
      <c r="E478" s="40"/>
      <c r="F478" s="40"/>
      <c r="G478" s="39" t="s">
        <v>2020</v>
      </c>
      <c r="H478" s="42" t="s">
        <v>3217</v>
      </c>
      <c r="I478" s="188">
        <v>44926.0</v>
      </c>
      <c r="J478" s="188">
        <v>44926.0</v>
      </c>
      <c r="K478" s="189">
        <v>7480.0</v>
      </c>
      <c r="L478" s="169"/>
      <c r="M478" s="192" t="s">
        <v>4117</v>
      </c>
      <c r="N478" s="42" t="s">
        <v>4118</v>
      </c>
      <c r="O478" s="169"/>
      <c r="P478" s="169"/>
      <c r="Q478" s="169"/>
      <c r="R478" s="169"/>
      <c r="S478" s="169"/>
      <c r="T478" s="169"/>
      <c r="U478" s="169"/>
      <c r="V478" s="169"/>
      <c r="W478" s="169"/>
      <c r="X478" s="169"/>
      <c r="Y478" s="169"/>
      <c r="Z478" s="169"/>
      <c r="AA478" s="169"/>
      <c r="AB478" s="169"/>
      <c r="AC478" s="169"/>
      <c r="AD478" s="169"/>
      <c r="AE478" s="169"/>
      <c r="AF478" s="169"/>
      <c r="AG478" s="169"/>
      <c r="AH478" s="169"/>
    </row>
    <row r="479" ht="45.0" customHeight="1">
      <c r="A479" s="169"/>
      <c r="B479" s="38" t="s">
        <v>4119</v>
      </c>
      <c r="C479" s="191" t="s">
        <v>4120</v>
      </c>
      <c r="D479" s="40" t="s">
        <v>2072</v>
      </c>
      <c r="E479" s="40"/>
      <c r="F479" s="40"/>
      <c r="G479" s="39" t="s">
        <v>2072</v>
      </c>
      <c r="H479" s="42" t="s">
        <v>4121</v>
      </c>
      <c r="I479" s="188">
        <v>44957.0</v>
      </c>
      <c r="J479" s="188">
        <v>45046.0</v>
      </c>
      <c r="K479" s="189">
        <v>728.0</v>
      </c>
      <c r="L479" s="169"/>
      <c r="M479" s="192" t="s">
        <v>2071</v>
      </c>
      <c r="N479" s="42" t="s">
        <v>2073</v>
      </c>
      <c r="O479" s="169"/>
      <c r="P479" s="169"/>
      <c r="Q479" s="169"/>
      <c r="R479" s="169"/>
      <c r="S479" s="169"/>
      <c r="T479" s="169"/>
      <c r="U479" s="169"/>
      <c r="V479" s="169"/>
      <c r="W479" s="169"/>
      <c r="X479" s="169"/>
      <c r="Y479" s="169"/>
      <c r="Z479" s="169"/>
      <c r="AA479" s="169"/>
      <c r="AB479" s="169"/>
      <c r="AC479" s="169"/>
      <c r="AD479" s="169"/>
      <c r="AE479" s="169"/>
      <c r="AF479" s="169"/>
      <c r="AG479" s="169"/>
      <c r="AH479" s="169"/>
    </row>
    <row r="480" ht="45.0" customHeight="1">
      <c r="A480" s="169"/>
      <c r="B480" s="38" t="s">
        <v>23</v>
      </c>
      <c r="C480" s="191" t="s">
        <v>4122</v>
      </c>
      <c r="D480" s="40" t="s">
        <v>1935</v>
      </c>
      <c r="E480" s="40"/>
      <c r="F480" s="40"/>
      <c r="G480" s="39"/>
      <c r="H480" s="42" t="s">
        <v>4123</v>
      </c>
      <c r="I480" s="188">
        <v>44957.0</v>
      </c>
      <c r="J480" s="188">
        <v>45046.0</v>
      </c>
      <c r="K480" s="189">
        <v>40.0</v>
      </c>
      <c r="L480" s="169"/>
      <c r="M480" s="192" t="s">
        <v>2893</v>
      </c>
      <c r="N480" s="42"/>
      <c r="O480" s="169"/>
      <c r="P480" s="169"/>
      <c r="Q480" s="169"/>
      <c r="R480" s="169"/>
      <c r="S480" s="169"/>
      <c r="T480" s="169"/>
      <c r="U480" s="169"/>
      <c r="V480" s="169"/>
      <c r="W480" s="169"/>
      <c r="X480" s="169"/>
      <c r="Y480" s="169"/>
      <c r="Z480" s="169"/>
      <c r="AA480" s="169"/>
      <c r="AB480" s="169"/>
      <c r="AC480" s="169"/>
      <c r="AD480" s="169"/>
      <c r="AE480" s="169"/>
      <c r="AF480" s="169"/>
      <c r="AG480" s="169"/>
      <c r="AH480" s="169"/>
    </row>
    <row r="481" ht="45.0" customHeight="1">
      <c r="A481" s="169"/>
      <c r="B481" s="38" t="s">
        <v>23</v>
      </c>
      <c r="C481" s="191" t="s">
        <v>4124</v>
      </c>
      <c r="D481" s="40" t="s">
        <v>1935</v>
      </c>
      <c r="E481" s="40"/>
      <c r="F481" s="40"/>
      <c r="G481" s="39"/>
      <c r="H481" s="42" t="s">
        <v>4125</v>
      </c>
      <c r="I481" s="188">
        <v>44957.0</v>
      </c>
      <c r="J481" s="188">
        <v>45016.0</v>
      </c>
      <c r="K481" s="189">
        <v>61.0</v>
      </c>
      <c r="L481" s="169"/>
      <c r="M481" s="192" t="s">
        <v>2893</v>
      </c>
      <c r="N481" s="42"/>
      <c r="O481" s="169"/>
      <c r="P481" s="169"/>
      <c r="Q481" s="169"/>
      <c r="R481" s="169"/>
      <c r="S481" s="169"/>
      <c r="T481" s="169"/>
      <c r="U481" s="169"/>
      <c r="V481" s="169"/>
      <c r="W481" s="169"/>
      <c r="X481" s="169"/>
      <c r="Y481" s="169"/>
      <c r="Z481" s="169"/>
      <c r="AA481" s="169"/>
      <c r="AB481" s="169"/>
      <c r="AC481" s="169"/>
      <c r="AD481" s="169"/>
      <c r="AE481" s="169"/>
      <c r="AF481" s="169"/>
      <c r="AG481" s="169"/>
      <c r="AH481" s="169"/>
    </row>
    <row r="482" ht="45.0" customHeight="1">
      <c r="A482" s="169"/>
      <c r="B482" s="38" t="s">
        <v>23</v>
      </c>
      <c r="C482" s="191" t="s">
        <v>4126</v>
      </c>
      <c r="D482" s="40" t="s">
        <v>1935</v>
      </c>
      <c r="E482" s="40"/>
      <c r="F482" s="40"/>
      <c r="G482" s="39"/>
      <c r="H482" s="42" t="s">
        <v>4127</v>
      </c>
      <c r="I482" s="188">
        <v>44957.0</v>
      </c>
      <c r="J482" s="188">
        <v>45016.0</v>
      </c>
      <c r="K482" s="189">
        <v>43.0</v>
      </c>
      <c r="L482" s="169"/>
      <c r="M482" s="192" t="s">
        <v>2893</v>
      </c>
      <c r="N482" s="42"/>
      <c r="O482" s="169"/>
      <c r="P482" s="169"/>
      <c r="Q482" s="169"/>
      <c r="R482" s="169"/>
      <c r="S482" s="169"/>
      <c r="T482" s="169"/>
      <c r="U482" s="169"/>
      <c r="V482" s="169"/>
      <c r="W482" s="169"/>
      <c r="X482" s="169"/>
      <c r="Y482" s="169"/>
      <c r="Z482" s="169"/>
      <c r="AA482" s="169"/>
      <c r="AB482" s="169"/>
      <c r="AC482" s="169"/>
      <c r="AD482" s="169"/>
      <c r="AE482" s="169"/>
      <c r="AF482" s="169"/>
      <c r="AG482" s="169"/>
      <c r="AH482" s="169"/>
    </row>
    <row r="483" ht="45.0" customHeight="1">
      <c r="A483" s="169"/>
      <c r="B483" s="38" t="s">
        <v>23</v>
      </c>
      <c r="C483" s="191" t="s">
        <v>4128</v>
      </c>
      <c r="D483" s="40" t="s">
        <v>1935</v>
      </c>
      <c r="E483" s="40"/>
      <c r="F483" s="40"/>
      <c r="G483" s="39"/>
      <c r="H483" s="42" t="s">
        <v>4127</v>
      </c>
      <c r="I483" s="188">
        <v>44957.0</v>
      </c>
      <c r="J483" s="188">
        <v>45016.0</v>
      </c>
      <c r="K483" s="189">
        <v>59.0</v>
      </c>
      <c r="L483" s="169"/>
      <c r="M483" s="192" t="s">
        <v>2893</v>
      </c>
      <c r="N483" s="42"/>
      <c r="O483" s="169"/>
      <c r="P483" s="169"/>
      <c r="Q483" s="169"/>
      <c r="R483" s="169"/>
      <c r="S483" s="169"/>
      <c r="T483" s="169"/>
      <c r="U483" s="169"/>
      <c r="V483" s="169"/>
      <c r="W483" s="169"/>
      <c r="X483" s="169"/>
      <c r="Y483" s="169"/>
      <c r="Z483" s="169"/>
      <c r="AA483" s="169"/>
      <c r="AB483" s="169"/>
      <c r="AC483" s="169"/>
      <c r="AD483" s="169"/>
      <c r="AE483" s="169"/>
      <c r="AF483" s="169"/>
      <c r="AG483" s="169"/>
      <c r="AH483" s="169"/>
    </row>
    <row r="484" ht="45.0" customHeight="1">
      <c r="A484" s="169"/>
      <c r="B484" s="38" t="s">
        <v>23</v>
      </c>
      <c r="C484" s="191" t="s">
        <v>4129</v>
      </c>
      <c r="D484" s="40" t="s">
        <v>1413</v>
      </c>
      <c r="E484" s="40"/>
      <c r="F484" s="40"/>
      <c r="G484" s="39"/>
      <c r="H484" s="42" t="s">
        <v>4130</v>
      </c>
      <c r="I484" s="188">
        <v>44957.0</v>
      </c>
      <c r="J484" s="188">
        <v>45382.0</v>
      </c>
      <c r="K484" s="189">
        <v>48.0</v>
      </c>
      <c r="L484" s="169"/>
      <c r="M484" s="186" t="s">
        <v>1446</v>
      </c>
      <c r="N484" s="42" t="s">
        <v>1447</v>
      </c>
      <c r="O484" s="169"/>
      <c r="P484" s="169"/>
      <c r="Q484" s="169"/>
      <c r="R484" s="169"/>
      <c r="S484" s="169"/>
      <c r="T484" s="169"/>
      <c r="U484" s="169"/>
      <c r="V484" s="169"/>
      <c r="W484" s="169"/>
      <c r="X484" s="169"/>
      <c r="Y484" s="169"/>
      <c r="Z484" s="169"/>
      <c r="AA484" s="169"/>
      <c r="AB484" s="169"/>
      <c r="AC484" s="169"/>
      <c r="AD484" s="169"/>
      <c r="AE484" s="169"/>
      <c r="AF484" s="169"/>
      <c r="AG484" s="169"/>
      <c r="AH484" s="169"/>
    </row>
    <row r="485" ht="45.0" customHeight="1">
      <c r="A485" s="169"/>
      <c r="B485" s="38" t="s">
        <v>23</v>
      </c>
      <c r="C485" s="191" t="s">
        <v>4131</v>
      </c>
      <c r="D485" s="40" t="s">
        <v>1413</v>
      </c>
      <c r="E485" s="40"/>
      <c r="F485" s="40"/>
      <c r="G485" s="39"/>
      <c r="H485" s="42" t="s">
        <v>4132</v>
      </c>
      <c r="I485" s="188">
        <v>44957.0</v>
      </c>
      <c r="J485" s="188">
        <v>45291.0</v>
      </c>
      <c r="K485" s="189">
        <v>44.0</v>
      </c>
      <c r="L485" s="169"/>
      <c r="M485" s="186" t="s">
        <v>1446</v>
      </c>
      <c r="N485" s="42" t="s">
        <v>1447</v>
      </c>
      <c r="O485" s="169"/>
      <c r="P485" s="169"/>
      <c r="Q485" s="169"/>
      <c r="R485" s="169"/>
      <c r="S485" s="169"/>
      <c r="T485" s="169"/>
      <c r="U485" s="169"/>
      <c r="V485" s="169"/>
      <c r="W485" s="169"/>
      <c r="X485" s="169"/>
      <c r="Y485" s="169"/>
      <c r="Z485" s="169"/>
      <c r="AA485" s="169"/>
      <c r="AB485" s="169"/>
      <c r="AC485" s="169"/>
      <c r="AD485" s="169"/>
      <c r="AE485" s="169"/>
      <c r="AF485" s="169"/>
      <c r="AG485" s="169"/>
      <c r="AH485" s="169"/>
    </row>
    <row r="486" ht="45.0" customHeight="1">
      <c r="A486" s="169"/>
      <c r="B486" s="38" t="s">
        <v>23</v>
      </c>
      <c r="C486" s="191" t="s">
        <v>1477</v>
      </c>
      <c r="D486" s="40" t="s">
        <v>1413</v>
      </c>
      <c r="E486" s="40"/>
      <c r="F486" s="40"/>
      <c r="G486" s="39"/>
      <c r="H486" s="42" t="s">
        <v>1479</v>
      </c>
      <c r="I486" s="188">
        <v>44957.0</v>
      </c>
      <c r="J486" s="205">
        <f>I486+65</f>
        <v>45022</v>
      </c>
      <c r="K486" s="189">
        <v>73.0</v>
      </c>
      <c r="L486" s="169"/>
      <c r="M486" s="186" t="s">
        <v>1446</v>
      </c>
      <c r="N486" s="42" t="s">
        <v>1447</v>
      </c>
      <c r="O486" s="169"/>
      <c r="P486" s="169"/>
      <c r="Q486" s="169"/>
      <c r="R486" s="169"/>
      <c r="S486" s="169"/>
      <c r="T486" s="169"/>
      <c r="U486" s="169"/>
      <c r="V486" s="169"/>
      <c r="W486" s="169"/>
      <c r="X486" s="169"/>
      <c r="Y486" s="169"/>
      <c r="Z486" s="169"/>
      <c r="AA486" s="169"/>
      <c r="AB486" s="169"/>
      <c r="AC486" s="169"/>
      <c r="AD486" s="169"/>
      <c r="AE486" s="169"/>
      <c r="AF486" s="169"/>
      <c r="AG486" s="169"/>
      <c r="AH486" s="169"/>
    </row>
    <row r="487" ht="45.0" customHeight="1">
      <c r="A487" s="169"/>
      <c r="B487" s="38" t="s">
        <v>3532</v>
      </c>
      <c r="C487" s="191" t="s">
        <v>4133</v>
      </c>
      <c r="D487" s="40" t="s">
        <v>4134</v>
      </c>
      <c r="E487" s="40"/>
      <c r="F487" s="40"/>
      <c r="G487" s="39"/>
      <c r="H487" s="42" t="s">
        <v>3535</v>
      </c>
      <c r="I487" s="188">
        <v>44985.0</v>
      </c>
      <c r="J487" s="188">
        <v>44985.0</v>
      </c>
      <c r="K487" s="189">
        <v>76.0</v>
      </c>
      <c r="L487" s="169"/>
      <c r="M487" s="186" t="s">
        <v>2893</v>
      </c>
      <c r="N487" s="42"/>
      <c r="O487" s="169"/>
      <c r="P487" s="169"/>
      <c r="Q487" s="169"/>
      <c r="R487" s="169"/>
      <c r="S487" s="169"/>
      <c r="T487" s="169"/>
      <c r="U487" s="169"/>
      <c r="V487" s="169"/>
      <c r="W487" s="169"/>
      <c r="X487" s="169"/>
      <c r="Y487" s="169"/>
      <c r="Z487" s="169"/>
      <c r="AA487" s="169"/>
      <c r="AB487" s="169"/>
      <c r="AC487" s="169"/>
      <c r="AD487" s="169"/>
      <c r="AE487" s="169"/>
      <c r="AF487" s="169"/>
      <c r="AG487" s="169"/>
      <c r="AH487" s="169"/>
    </row>
    <row r="488" ht="15.75" customHeight="1">
      <c r="A488" s="169"/>
      <c r="B488" s="38" t="s">
        <v>1031</v>
      </c>
      <c r="C488" s="191" t="s">
        <v>4135</v>
      </c>
      <c r="D488" s="40" t="s">
        <v>4136</v>
      </c>
      <c r="E488" s="40" t="s">
        <v>3890</v>
      </c>
      <c r="F488" s="40" t="s">
        <v>1083</v>
      </c>
      <c r="G488" s="39" t="s">
        <v>1035</v>
      </c>
      <c r="H488" s="42" t="s">
        <v>4137</v>
      </c>
      <c r="I488" s="188">
        <v>44985.0</v>
      </c>
      <c r="J488" s="188">
        <v>44985.0</v>
      </c>
      <c r="K488" s="189">
        <v>1025.0</v>
      </c>
      <c r="L488" s="206"/>
      <c r="M488" s="186" t="s">
        <v>2893</v>
      </c>
      <c r="N488" s="42"/>
      <c r="O488" s="169"/>
      <c r="P488" s="169"/>
      <c r="Q488" s="169"/>
      <c r="R488" s="169"/>
      <c r="S488" s="169"/>
      <c r="T488" s="169"/>
      <c r="U488" s="169"/>
      <c r="V488" s="169"/>
      <c r="W488" s="169"/>
      <c r="X488" s="169"/>
      <c r="Y488" s="169"/>
      <c r="Z488" s="169"/>
      <c r="AA488" s="169"/>
      <c r="AB488" s="169"/>
      <c r="AC488" s="169"/>
      <c r="AD488" s="169"/>
      <c r="AE488" s="169"/>
      <c r="AF488" s="169"/>
      <c r="AG488" s="169"/>
      <c r="AH488" s="169"/>
    </row>
    <row r="489" ht="15.75" customHeight="1">
      <c r="A489" s="169"/>
      <c r="B489" s="38" t="s">
        <v>1031</v>
      </c>
      <c r="C489" s="191" t="s">
        <v>4138</v>
      </c>
      <c r="D489" s="40" t="s">
        <v>4139</v>
      </c>
      <c r="E489" s="40" t="s">
        <v>3890</v>
      </c>
      <c r="F489" s="40" t="s">
        <v>1083</v>
      </c>
      <c r="G489" s="39" t="s">
        <v>1035</v>
      </c>
      <c r="H489" s="42" t="s">
        <v>4140</v>
      </c>
      <c r="I489" s="188">
        <v>44985.0</v>
      </c>
      <c r="J489" s="188">
        <v>44985.0</v>
      </c>
      <c r="K489" s="189">
        <v>1056.0</v>
      </c>
      <c r="L489" s="206"/>
      <c r="M489" s="186" t="s">
        <v>2893</v>
      </c>
      <c r="N489" s="42"/>
      <c r="O489" s="169"/>
      <c r="P489" s="169"/>
      <c r="Q489" s="169"/>
      <c r="R489" s="169"/>
      <c r="S489" s="169"/>
      <c r="T489" s="169"/>
      <c r="U489" s="169"/>
      <c r="V489" s="169"/>
      <c r="W489" s="169"/>
      <c r="X489" s="169"/>
      <c r="Y489" s="169"/>
      <c r="Z489" s="169"/>
      <c r="AA489" s="169"/>
      <c r="AB489" s="169"/>
      <c r="AC489" s="169"/>
      <c r="AD489" s="169"/>
      <c r="AE489" s="169"/>
      <c r="AF489" s="169"/>
      <c r="AG489" s="169"/>
      <c r="AH489" s="169"/>
    </row>
    <row r="490" ht="15.75" customHeight="1">
      <c r="A490" s="169"/>
      <c r="B490" s="38" t="s">
        <v>4141</v>
      </c>
      <c r="C490" s="191" t="s">
        <v>4142</v>
      </c>
      <c r="D490" s="40" t="s">
        <v>4143</v>
      </c>
      <c r="E490" s="40"/>
      <c r="F490" s="40"/>
      <c r="G490" s="39" t="s">
        <v>2142</v>
      </c>
      <c r="H490" s="42" t="s">
        <v>4144</v>
      </c>
      <c r="I490" s="188">
        <v>44985.0</v>
      </c>
      <c r="J490" s="188">
        <v>44985.0</v>
      </c>
      <c r="K490" s="189" t="s">
        <v>2147</v>
      </c>
      <c r="L490" s="206"/>
      <c r="M490" s="186" t="s">
        <v>2893</v>
      </c>
      <c r="N490" s="42"/>
      <c r="O490" s="169"/>
      <c r="P490" s="169"/>
      <c r="Q490" s="169"/>
      <c r="R490" s="169"/>
      <c r="S490" s="169"/>
      <c r="T490" s="169"/>
      <c r="U490" s="169"/>
      <c r="V490" s="169"/>
      <c r="W490" s="169"/>
      <c r="X490" s="169"/>
      <c r="Y490" s="169"/>
      <c r="Z490" s="169"/>
      <c r="AA490" s="169"/>
      <c r="AB490" s="169"/>
      <c r="AC490" s="169"/>
      <c r="AD490" s="169"/>
      <c r="AE490" s="169"/>
      <c r="AF490" s="169"/>
      <c r="AG490" s="169"/>
      <c r="AH490" s="169"/>
    </row>
    <row r="491" ht="15.75" customHeight="1">
      <c r="A491" s="169"/>
      <c r="B491" s="38" t="s">
        <v>4141</v>
      </c>
      <c r="C491" s="191" t="s">
        <v>4145</v>
      </c>
      <c r="D491" s="40" t="s">
        <v>4146</v>
      </c>
      <c r="E491" s="40"/>
      <c r="F491" s="40"/>
      <c r="G491" s="39" t="s">
        <v>2142</v>
      </c>
      <c r="H491" s="42" t="s">
        <v>4147</v>
      </c>
      <c r="I491" s="188">
        <v>44985.0</v>
      </c>
      <c r="J491" s="188">
        <v>44985.0</v>
      </c>
      <c r="K491" s="189">
        <v>2710.0</v>
      </c>
      <c r="L491" s="206"/>
      <c r="M491" s="186" t="s">
        <v>2893</v>
      </c>
      <c r="N491" s="42"/>
      <c r="O491" s="169"/>
      <c r="P491" s="169"/>
      <c r="Q491" s="169"/>
      <c r="R491" s="169"/>
      <c r="S491" s="169"/>
      <c r="T491" s="169"/>
      <c r="U491" s="169"/>
      <c r="V491" s="169"/>
      <c r="W491" s="169"/>
      <c r="X491" s="169"/>
      <c r="Y491" s="169"/>
      <c r="Z491" s="169"/>
      <c r="AA491" s="169"/>
      <c r="AB491" s="169"/>
      <c r="AC491" s="169"/>
      <c r="AD491" s="169"/>
      <c r="AE491" s="169"/>
      <c r="AF491" s="169"/>
      <c r="AG491" s="169"/>
      <c r="AH491" s="169"/>
    </row>
    <row r="492" ht="15.75" customHeight="1">
      <c r="A492" s="169"/>
      <c r="B492" s="38" t="s">
        <v>4141</v>
      </c>
      <c r="C492" s="191" t="s">
        <v>4148</v>
      </c>
      <c r="D492" s="40" t="s">
        <v>2176</v>
      </c>
      <c r="E492" s="40"/>
      <c r="F492" s="40"/>
      <c r="G492" s="39" t="s">
        <v>2142</v>
      </c>
      <c r="H492" s="42" t="s">
        <v>4149</v>
      </c>
      <c r="I492" s="188">
        <v>44985.0</v>
      </c>
      <c r="J492" s="188">
        <v>44985.0</v>
      </c>
      <c r="K492" s="189">
        <v>6780.0</v>
      </c>
      <c r="L492" s="206"/>
      <c r="M492" s="186" t="s">
        <v>2893</v>
      </c>
      <c r="N492" s="42"/>
      <c r="O492" s="169"/>
      <c r="P492" s="169"/>
      <c r="Q492" s="169"/>
      <c r="R492" s="169"/>
      <c r="S492" s="169"/>
      <c r="T492" s="169"/>
      <c r="U492" s="169"/>
      <c r="V492" s="169"/>
      <c r="W492" s="169"/>
      <c r="X492" s="169"/>
      <c r="Y492" s="169"/>
      <c r="Z492" s="169"/>
      <c r="AA492" s="169"/>
      <c r="AB492" s="169"/>
      <c r="AC492" s="169"/>
      <c r="AD492" s="169"/>
      <c r="AE492" s="169"/>
      <c r="AF492" s="169"/>
      <c r="AG492" s="169"/>
      <c r="AH492" s="169"/>
    </row>
    <row r="493" ht="15.75" customHeight="1">
      <c r="A493" s="169"/>
      <c r="B493" s="38" t="s">
        <v>4141</v>
      </c>
      <c r="C493" s="191" t="s">
        <v>4150</v>
      </c>
      <c r="D493" s="40" t="s">
        <v>4151</v>
      </c>
      <c r="E493" s="40"/>
      <c r="F493" s="40"/>
      <c r="G493" s="39" t="s">
        <v>2142</v>
      </c>
      <c r="H493" s="42" t="s">
        <v>4152</v>
      </c>
      <c r="I493" s="188">
        <v>44985.0</v>
      </c>
      <c r="J493" s="188">
        <v>44985.0</v>
      </c>
      <c r="K493" s="189" t="s">
        <v>2147</v>
      </c>
      <c r="L493" s="206"/>
      <c r="M493" s="186" t="s">
        <v>2893</v>
      </c>
      <c r="N493" s="42"/>
      <c r="O493" s="169"/>
      <c r="P493" s="169"/>
      <c r="Q493" s="169"/>
      <c r="R493" s="169"/>
      <c r="S493" s="169"/>
      <c r="T493" s="169"/>
      <c r="U493" s="169"/>
      <c r="V493" s="169"/>
      <c r="W493" s="169"/>
      <c r="X493" s="169"/>
      <c r="Y493" s="169"/>
      <c r="Z493" s="169"/>
      <c r="AA493" s="169"/>
      <c r="AB493" s="169"/>
      <c r="AC493" s="169"/>
      <c r="AD493" s="169"/>
      <c r="AE493" s="169"/>
      <c r="AF493" s="169"/>
      <c r="AG493" s="169"/>
      <c r="AH493" s="169"/>
    </row>
    <row r="494" ht="15.75" customHeight="1">
      <c r="A494" s="169"/>
      <c r="B494" s="38" t="s">
        <v>4141</v>
      </c>
      <c r="C494" s="191" t="s">
        <v>4153</v>
      </c>
      <c r="D494" s="40" t="s">
        <v>4154</v>
      </c>
      <c r="E494" s="40"/>
      <c r="F494" s="40"/>
      <c r="G494" s="39" t="s">
        <v>2142</v>
      </c>
      <c r="H494" s="42" t="s">
        <v>4155</v>
      </c>
      <c r="I494" s="188">
        <v>44985.0</v>
      </c>
      <c r="J494" s="188">
        <v>44985.0</v>
      </c>
      <c r="K494" s="189">
        <v>2440.0</v>
      </c>
      <c r="L494" s="206"/>
      <c r="M494" s="186" t="s">
        <v>2893</v>
      </c>
      <c r="N494" s="42"/>
      <c r="O494" s="169"/>
      <c r="P494" s="169"/>
      <c r="Q494" s="169"/>
      <c r="R494" s="169"/>
      <c r="S494" s="169"/>
      <c r="T494" s="169"/>
      <c r="U494" s="169"/>
      <c r="V494" s="169"/>
      <c r="W494" s="169"/>
      <c r="X494" s="169"/>
      <c r="Y494" s="169"/>
      <c r="Z494" s="169"/>
      <c r="AA494" s="169"/>
      <c r="AB494" s="169"/>
      <c r="AC494" s="169"/>
      <c r="AD494" s="169"/>
      <c r="AE494" s="169"/>
      <c r="AF494" s="169"/>
      <c r="AG494" s="169"/>
      <c r="AH494" s="169"/>
    </row>
    <row r="495" ht="15.75" customHeight="1">
      <c r="A495" s="169"/>
      <c r="B495" s="38" t="s">
        <v>4141</v>
      </c>
      <c r="C495" s="191" t="s">
        <v>4156</v>
      </c>
      <c r="D495" s="40" t="s">
        <v>4157</v>
      </c>
      <c r="E495" s="40"/>
      <c r="F495" s="40"/>
      <c r="G495" s="39" t="s">
        <v>2142</v>
      </c>
      <c r="H495" s="42" t="s">
        <v>4158</v>
      </c>
      <c r="I495" s="188">
        <v>44985.0</v>
      </c>
      <c r="J495" s="188">
        <v>44985.0</v>
      </c>
      <c r="K495" s="189">
        <v>4060.0</v>
      </c>
      <c r="L495" s="206"/>
      <c r="M495" s="186" t="s">
        <v>2893</v>
      </c>
      <c r="N495" s="42"/>
      <c r="O495" s="169"/>
      <c r="P495" s="169"/>
      <c r="Q495" s="169"/>
      <c r="R495" s="169"/>
      <c r="S495" s="169"/>
      <c r="T495" s="169"/>
      <c r="U495" s="169"/>
      <c r="V495" s="169"/>
      <c r="W495" s="169"/>
      <c r="X495" s="169"/>
      <c r="Y495" s="169"/>
      <c r="Z495" s="169"/>
      <c r="AA495" s="169"/>
      <c r="AB495" s="169"/>
      <c r="AC495" s="169"/>
      <c r="AD495" s="169"/>
      <c r="AE495" s="169"/>
      <c r="AF495" s="169"/>
      <c r="AG495" s="169"/>
      <c r="AH495" s="169"/>
    </row>
    <row r="496" ht="15.75" customHeight="1">
      <c r="A496" s="169"/>
      <c r="B496" s="38" t="s">
        <v>4141</v>
      </c>
      <c r="C496" s="191" t="s">
        <v>4159</v>
      </c>
      <c r="D496" s="40" t="s">
        <v>4160</v>
      </c>
      <c r="E496" s="40"/>
      <c r="F496" s="40"/>
      <c r="G496" s="39" t="s">
        <v>2142</v>
      </c>
      <c r="H496" s="42" t="s">
        <v>4161</v>
      </c>
      <c r="I496" s="188">
        <v>44985.0</v>
      </c>
      <c r="J496" s="188">
        <v>44985.0</v>
      </c>
      <c r="K496" s="189">
        <v>6780.0</v>
      </c>
      <c r="L496" s="206"/>
      <c r="M496" s="186" t="s">
        <v>2893</v>
      </c>
      <c r="N496" s="42"/>
      <c r="O496" s="169"/>
      <c r="P496" s="169"/>
      <c r="Q496" s="169"/>
      <c r="R496" s="169"/>
      <c r="S496" s="169"/>
      <c r="T496" s="169"/>
      <c r="U496" s="169"/>
      <c r="V496" s="169"/>
      <c r="W496" s="169"/>
      <c r="X496" s="169"/>
      <c r="Y496" s="169"/>
      <c r="Z496" s="169"/>
      <c r="AA496" s="169"/>
      <c r="AB496" s="169"/>
      <c r="AC496" s="169"/>
      <c r="AD496" s="169"/>
      <c r="AE496" s="169"/>
      <c r="AF496" s="169"/>
      <c r="AG496" s="169"/>
      <c r="AH496" s="169"/>
    </row>
    <row r="497" ht="15.75" customHeight="1">
      <c r="A497" s="169"/>
      <c r="B497" s="38" t="s">
        <v>4141</v>
      </c>
      <c r="C497" s="191" t="s">
        <v>4162</v>
      </c>
      <c r="D497" s="40" t="s">
        <v>4163</v>
      </c>
      <c r="E497" s="40"/>
      <c r="F497" s="40"/>
      <c r="G497" s="39" t="s">
        <v>2142</v>
      </c>
      <c r="H497" s="42" t="s">
        <v>4164</v>
      </c>
      <c r="I497" s="188">
        <v>44985.0</v>
      </c>
      <c r="J497" s="188">
        <v>44985.0</v>
      </c>
      <c r="K497" s="189" t="s">
        <v>2147</v>
      </c>
      <c r="L497" s="206"/>
      <c r="M497" s="186" t="s">
        <v>2893</v>
      </c>
      <c r="N497" s="42"/>
      <c r="O497" s="169"/>
      <c r="P497" s="169"/>
      <c r="Q497" s="169"/>
      <c r="R497" s="169"/>
      <c r="S497" s="169"/>
      <c r="T497" s="169"/>
      <c r="U497" s="169"/>
      <c r="V497" s="169"/>
      <c r="W497" s="169"/>
      <c r="X497" s="169"/>
      <c r="Y497" s="169"/>
      <c r="Z497" s="169"/>
      <c r="AA497" s="169"/>
      <c r="AB497" s="169"/>
      <c r="AC497" s="169"/>
      <c r="AD497" s="169"/>
      <c r="AE497" s="169"/>
      <c r="AF497" s="169"/>
      <c r="AG497" s="169"/>
      <c r="AH497" s="169"/>
    </row>
    <row r="498" ht="15.75" customHeight="1">
      <c r="A498" s="169"/>
      <c r="B498" s="38" t="s">
        <v>4141</v>
      </c>
      <c r="C498" s="191" t="s">
        <v>4165</v>
      </c>
      <c r="D498" s="40" t="s">
        <v>4166</v>
      </c>
      <c r="E498" s="40"/>
      <c r="F498" s="40"/>
      <c r="G498" s="39" t="s">
        <v>2142</v>
      </c>
      <c r="H498" s="42" t="s">
        <v>4167</v>
      </c>
      <c r="I498" s="188">
        <v>44985.0</v>
      </c>
      <c r="J498" s="188">
        <v>44985.0</v>
      </c>
      <c r="K498" s="189">
        <v>2170.0</v>
      </c>
      <c r="L498" s="206"/>
      <c r="M498" s="186" t="s">
        <v>2893</v>
      </c>
      <c r="N498" s="42"/>
      <c r="O498" s="169"/>
      <c r="P498" s="169"/>
      <c r="Q498" s="169"/>
      <c r="R498" s="169"/>
      <c r="S498" s="169"/>
      <c r="T498" s="169"/>
      <c r="U498" s="169"/>
      <c r="V498" s="169"/>
      <c r="W498" s="169"/>
      <c r="X498" s="169"/>
      <c r="Y498" s="169"/>
      <c r="Z498" s="169"/>
      <c r="AA498" s="169"/>
      <c r="AB498" s="169"/>
      <c r="AC498" s="169"/>
      <c r="AD498" s="169"/>
      <c r="AE498" s="169"/>
      <c r="AF498" s="169"/>
      <c r="AG498" s="169"/>
      <c r="AH498" s="169"/>
    </row>
    <row r="499" ht="15.75" customHeight="1">
      <c r="A499" s="169"/>
      <c r="B499" s="38" t="s">
        <v>4141</v>
      </c>
      <c r="C499" s="191" t="s">
        <v>4168</v>
      </c>
      <c r="D499" s="40" t="s">
        <v>4169</v>
      </c>
      <c r="E499" s="40"/>
      <c r="F499" s="40"/>
      <c r="G499" s="39" t="s">
        <v>2142</v>
      </c>
      <c r="H499" s="42" t="s">
        <v>4170</v>
      </c>
      <c r="I499" s="188">
        <v>44985.0</v>
      </c>
      <c r="J499" s="188">
        <v>44985.0</v>
      </c>
      <c r="K499" s="189">
        <v>3900.0</v>
      </c>
      <c r="L499" s="206"/>
      <c r="M499" s="186" t="s">
        <v>2893</v>
      </c>
      <c r="N499" s="42"/>
      <c r="O499" s="169"/>
      <c r="P499" s="169"/>
      <c r="Q499" s="169"/>
      <c r="R499" s="169"/>
      <c r="S499" s="169"/>
      <c r="T499" s="169"/>
      <c r="U499" s="169"/>
      <c r="V499" s="169"/>
      <c r="W499" s="169"/>
      <c r="X499" s="169"/>
      <c r="Y499" s="169"/>
      <c r="Z499" s="169"/>
      <c r="AA499" s="169"/>
      <c r="AB499" s="169"/>
      <c r="AC499" s="169"/>
      <c r="AD499" s="169"/>
      <c r="AE499" s="169"/>
      <c r="AF499" s="169"/>
      <c r="AG499" s="169"/>
      <c r="AH499" s="169"/>
    </row>
    <row r="500" ht="15.75" customHeight="1">
      <c r="A500" s="169"/>
      <c r="B500" s="38" t="s">
        <v>4141</v>
      </c>
      <c r="C500" s="191" t="s">
        <v>4171</v>
      </c>
      <c r="D500" s="40" t="s">
        <v>4172</v>
      </c>
      <c r="E500" s="40"/>
      <c r="F500" s="40"/>
      <c r="G500" s="39" t="s">
        <v>2142</v>
      </c>
      <c r="H500" s="42" t="s">
        <v>4173</v>
      </c>
      <c r="I500" s="188">
        <v>44985.0</v>
      </c>
      <c r="J500" s="188">
        <v>44985.0</v>
      </c>
      <c r="K500" s="189">
        <v>1356.0</v>
      </c>
      <c r="L500" s="206"/>
      <c r="M500" s="186" t="s">
        <v>2893</v>
      </c>
      <c r="N500" s="42"/>
      <c r="O500" s="169"/>
      <c r="P500" s="169"/>
      <c r="Q500" s="169"/>
      <c r="R500" s="169"/>
      <c r="S500" s="169"/>
      <c r="T500" s="169"/>
      <c r="U500" s="169"/>
      <c r="V500" s="169"/>
      <c r="W500" s="169"/>
      <c r="X500" s="169"/>
      <c r="Y500" s="169"/>
      <c r="Z500" s="169"/>
      <c r="AA500" s="169"/>
      <c r="AB500" s="169"/>
      <c r="AC500" s="169"/>
      <c r="AD500" s="169"/>
      <c r="AE500" s="169"/>
      <c r="AF500" s="169"/>
      <c r="AG500" s="169"/>
      <c r="AH500" s="169"/>
    </row>
    <row r="501" ht="15.75" customHeight="1">
      <c r="A501" s="169"/>
      <c r="B501" s="38" t="s">
        <v>4141</v>
      </c>
      <c r="C501" s="191" t="s">
        <v>4174</v>
      </c>
      <c r="D501" s="40" t="s">
        <v>4175</v>
      </c>
      <c r="E501" s="40"/>
      <c r="F501" s="40"/>
      <c r="G501" s="39" t="s">
        <v>2142</v>
      </c>
      <c r="H501" s="42" t="s">
        <v>4176</v>
      </c>
      <c r="I501" s="188">
        <v>44985.0</v>
      </c>
      <c r="J501" s="188">
        <v>44985.0</v>
      </c>
      <c r="K501" s="189">
        <v>6421.0</v>
      </c>
      <c r="L501" s="206"/>
      <c r="M501" s="186" t="s">
        <v>2893</v>
      </c>
      <c r="N501" s="42"/>
      <c r="O501" s="169"/>
      <c r="P501" s="169"/>
      <c r="Q501" s="169"/>
      <c r="R501" s="169"/>
      <c r="S501" s="169"/>
      <c r="T501" s="169"/>
      <c r="U501" s="169"/>
      <c r="V501" s="169"/>
      <c r="W501" s="169"/>
      <c r="X501" s="169"/>
      <c r="Y501" s="169"/>
      <c r="Z501" s="169"/>
      <c r="AA501" s="169"/>
      <c r="AB501" s="169"/>
      <c r="AC501" s="169"/>
      <c r="AD501" s="169"/>
      <c r="AE501" s="169"/>
      <c r="AF501" s="169"/>
      <c r="AG501" s="169"/>
      <c r="AH501" s="169"/>
    </row>
    <row r="502" ht="15.75" customHeight="1">
      <c r="A502" s="169"/>
      <c r="B502" s="38" t="s">
        <v>2119</v>
      </c>
      <c r="C502" s="191" t="s">
        <v>4177</v>
      </c>
      <c r="D502" s="40" t="s">
        <v>4178</v>
      </c>
      <c r="E502" s="40"/>
      <c r="F502" s="40"/>
      <c r="G502" s="39"/>
      <c r="H502" s="42" t="s">
        <v>4179</v>
      </c>
      <c r="I502" s="188">
        <v>44985.0</v>
      </c>
      <c r="J502" s="188">
        <v>44985.0</v>
      </c>
      <c r="K502" s="189">
        <v>445.0</v>
      </c>
      <c r="L502" s="206"/>
      <c r="M502" s="186" t="s">
        <v>2327</v>
      </c>
      <c r="N502" s="42" t="s">
        <v>2329</v>
      </c>
      <c r="O502" s="169"/>
      <c r="P502" s="169"/>
      <c r="Q502" s="169"/>
      <c r="R502" s="169"/>
      <c r="S502" s="169"/>
      <c r="T502" s="169"/>
      <c r="U502" s="169"/>
      <c r="V502" s="169"/>
      <c r="W502" s="169"/>
      <c r="X502" s="169"/>
      <c r="Y502" s="169"/>
      <c r="Z502" s="169"/>
      <c r="AA502" s="169"/>
      <c r="AB502" s="169"/>
      <c r="AC502" s="169"/>
      <c r="AD502" s="169"/>
      <c r="AE502" s="169"/>
      <c r="AF502" s="169"/>
      <c r="AG502" s="169"/>
      <c r="AH502" s="169"/>
    </row>
    <row r="503" ht="15.75" customHeight="1">
      <c r="A503" s="169"/>
      <c r="B503" s="38" t="s">
        <v>2119</v>
      </c>
      <c r="C503" s="191" t="s">
        <v>4180</v>
      </c>
      <c r="D503" s="40" t="s">
        <v>4181</v>
      </c>
      <c r="E503" s="40"/>
      <c r="F503" s="40"/>
      <c r="G503" s="39"/>
      <c r="H503" s="42" t="s">
        <v>4182</v>
      </c>
      <c r="I503" s="188">
        <v>44985.0</v>
      </c>
      <c r="J503" s="188">
        <v>44985.0</v>
      </c>
      <c r="K503" s="189">
        <v>422.0</v>
      </c>
      <c r="L503" s="206"/>
      <c r="M503" s="186" t="s">
        <v>2330</v>
      </c>
      <c r="N503" s="42" t="s">
        <v>2332</v>
      </c>
      <c r="O503" s="169"/>
      <c r="P503" s="169"/>
      <c r="Q503" s="169"/>
      <c r="R503" s="169"/>
      <c r="S503" s="169"/>
      <c r="T503" s="169"/>
      <c r="U503" s="169"/>
      <c r="V503" s="169"/>
      <c r="W503" s="169"/>
      <c r="X503" s="169"/>
      <c r="Y503" s="169"/>
      <c r="Z503" s="169"/>
      <c r="AA503" s="169"/>
      <c r="AB503" s="169"/>
      <c r="AC503" s="169"/>
      <c r="AD503" s="169"/>
      <c r="AE503" s="169"/>
      <c r="AF503" s="169"/>
      <c r="AG503" s="169"/>
      <c r="AH503" s="169"/>
    </row>
    <row r="504" ht="15.75" customHeight="1">
      <c r="A504" s="169"/>
      <c r="B504" s="38" t="s">
        <v>2119</v>
      </c>
      <c r="C504" s="191" t="s">
        <v>4183</v>
      </c>
      <c r="D504" s="40" t="s">
        <v>4184</v>
      </c>
      <c r="E504" s="40"/>
      <c r="F504" s="40"/>
      <c r="G504" s="39"/>
      <c r="H504" s="42" t="s">
        <v>4185</v>
      </c>
      <c r="I504" s="188">
        <v>44985.0</v>
      </c>
      <c r="J504" s="188">
        <v>44985.0</v>
      </c>
      <c r="K504" s="189">
        <v>512.0</v>
      </c>
      <c r="L504" s="206"/>
      <c r="M504" s="186" t="s">
        <v>2893</v>
      </c>
      <c r="N504" s="42"/>
      <c r="O504" s="169"/>
      <c r="P504" s="169"/>
      <c r="Q504" s="169"/>
      <c r="R504" s="169"/>
      <c r="S504" s="169"/>
      <c r="T504" s="169"/>
      <c r="U504" s="169"/>
      <c r="V504" s="169"/>
      <c r="W504" s="169"/>
      <c r="X504" s="169"/>
      <c r="Y504" s="169"/>
      <c r="Z504" s="169"/>
      <c r="AA504" s="169"/>
      <c r="AB504" s="169"/>
      <c r="AC504" s="169"/>
      <c r="AD504" s="169"/>
      <c r="AE504" s="169"/>
      <c r="AF504" s="169"/>
      <c r="AG504" s="169"/>
      <c r="AH504" s="169"/>
    </row>
    <row r="505" ht="15.75" customHeight="1">
      <c r="A505" s="169"/>
      <c r="B505" s="38" t="s">
        <v>2119</v>
      </c>
      <c r="C505" s="191" t="s">
        <v>4186</v>
      </c>
      <c r="D505" s="40" t="s">
        <v>4187</v>
      </c>
      <c r="E505" s="40"/>
      <c r="F505" s="40"/>
      <c r="G505" s="39"/>
      <c r="H505" s="42" t="s">
        <v>4188</v>
      </c>
      <c r="I505" s="188">
        <v>44985.0</v>
      </c>
      <c r="J505" s="188">
        <v>44985.0</v>
      </c>
      <c r="K505" s="189">
        <v>928.0</v>
      </c>
      <c r="L505" s="206"/>
      <c r="M505" s="186" t="s">
        <v>2893</v>
      </c>
      <c r="N505" s="42"/>
      <c r="O505" s="169"/>
      <c r="P505" s="169"/>
      <c r="Q505" s="169"/>
      <c r="R505" s="169"/>
      <c r="S505" s="169"/>
      <c r="T505" s="169"/>
      <c r="U505" s="169"/>
      <c r="V505" s="169"/>
      <c r="W505" s="169"/>
      <c r="X505" s="169"/>
      <c r="Y505" s="169"/>
      <c r="Z505" s="169"/>
      <c r="AA505" s="169"/>
      <c r="AB505" s="169"/>
      <c r="AC505" s="169"/>
      <c r="AD505" s="169"/>
      <c r="AE505" s="169"/>
      <c r="AF505" s="169"/>
      <c r="AG505" s="169"/>
      <c r="AH505" s="169"/>
    </row>
    <row r="506" ht="15.75" customHeight="1">
      <c r="A506" s="169"/>
      <c r="B506" s="38" t="s">
        <v>2119</v>
      </c>
      <c r="C506" s="191" t="s">
        <v>4189</v>
      </c>
      <c r="D506" s="40" t="s">
        <v>4190</v>
      </c>
      <c r="E506" s="40"/>
      <c r="F506" s="40"/>
      <c r="G506" s="39"/>
      <c r="H506" s="42" t="s">
        <v>4191</v>
      </c>
      <c r="I506" s="188">
        <v>44985.0</v>
      </c>
      <c r="J506" s="188">
        <v>44985.0</v>
      </c>
      <c r="K506" s="189">
        <v>282.0</v>
      </c>
      <c r="L506" s="206"/>
      <c r="M506" s="186" t="s">
        <v>2893</v>
      </c>
      <c r="N506" s="42"/>
      <c r="O506" s="169"/>
      <c r="P506" s="169"/>
      <c r="Q506" s="169"/>
      <c r="R506" s="169"/>
      <c r="S506" s="169"/>
      <c r="T506" s="169"/>
      <c r="U506" s="169"/>
      <c r="V506" s="169"/>
      <c r="W506" s="169"/>
      <c r="X506" s="169"/>
      <c r="Y506" s="169"/>
      <c r="Z506" s="169"/>
      <c r="AA506" s="169"/>
      <c r="AB506" s="169"/>
      <c r="AC506" s="169"/>
      <c r="AD506" s="169"/>
      <c r="AE506" s="169"/>
      <c r="AF506" s="169"/>
      <c r="AG506" s="169"/>
      <c r="AH506" s="169"/>
    </row>
    <row r="507" ht="15.75" customHeight="1">
      <c r="A507" s="169"/>
      <c r="B507" s="38" t="s">
        <v>2119</v>
      </c>
      <c r="C507" s="191" t="s">
        <v>4192</v>
      </c>
      <c r="D507" s="40" t="s">
        <v>4193</v>
      </c>
      <c r="E507" s="40"/>
      <c r="F507" s="40"/>
      <c r="G507" s="39"/>
      <c r="H507" s="42" t="s">
        <v>4194</v>
      </c>
      <c r="I507" s="188">
        <v>44985.0</v>
      </c>
      <c r="J507" s="188">
        <v>44985.0</v>
      </c>
      <c r="K507" s="189">
        <v>394.0</v>
      </c>
      <c r="L507" s="206"/>
      <c r="M507" s="186" t="s">
        <v>2333</v>
      </c>
      <c r="N507" s="42" t="s">
        <v>2335</v>
      </c>
      <c r="O507" s="169"/>
      <c r="P507" s="169"/>
      <c r="Q507" s="169"/>
      <c r="R507" s="169"/>
      <c r="S507" s="169"/>
      <c r="T507" s="169"/>
      <c r="U507" s="169"/>
      <c r="V507" s="169"/>
      <c r="W507" s="169"/>
      <c r="X507" s="169"/>
      <c r="Y507" s="169"/>
      <c r="Z507" s="169"/>
      <c r="AA507" s="169"/>
      <c r="AB507" s="169"/>
      <c r="AC507" s="169"/>
      <c r="AD507" s="169"/>
      <c r="AE507" s="169"/>
      <c r="AF507" s="169"/>
      <c r="AG507" s="169"/>
      <c r="AH507" s="169"/>
    </row>
    <row r="508" ht="15.75" customHeight="1">
      <c r="A508" s="169"/>
      <c r="B508" s="38" t="s">
        <v>2119</v>
      </c>
      <c r="C508" s="191" t="s">
        <v>4195</v>
      </c>
      <c r="D508" s="40" t="s">
        <v>4196</v>
      </c>
      <c r="E508" s="40"/>
      <c r="F508" s="40"/>
      <c r="G508" s="39"/>
      <c r="H508" s="42" t="s">
        <v>4197</v>
      </c>
      <c r="I508" s="188">
        <v>44985.0</v>
      </c>
      <c r="J508" s="188">
        <v>44985.0</v>
      </c>
      <c r="K508" s="189">
        <v>563.0</v>
      </c>
      <c r="L508" s="206"/>
      <c r="M508" s="186" t="s">
        <v>2893</v>
      </c>
      <c r="N508" s="42"/>
      <c r="O508" s="169"/>
      <c r="P508" s="169"/>
      <c r="Q508" s="169"/>
      <c r="R508" s="169"/>
      <c r="S508" s="169"/>
      <c r="T508" s="169"/>
      <c r="U508" s="169"/>
      <c r="V508" s="169"/>
      <c r="W508" s="169"/>
      <c r="X508" s="169"/>
      <c r="Y508" s="169"/>
      <c r="Z508" s="169"/>
      <c r="AA508" s="169"/>
      <c r="AB508" s="169"/>
      <c r="AC508" s="169"/>
      <c r="AD508" s="169"/>
      <c r="AE508" s="169"/>
      <c r="AF508" s="169"/>
      <c r="AG508" s="169"/>
      <c r="AH508" s="169"/>
    </row>
    <row r="509" ht="15.75" customHeight="1">
      <c r="A509" s="169"/>
      <c r="B509" s="38" t="s">
        <v>23</v>
      </c>
      <c r="C509" s="191" t="s">
        <v>4198</v>
      </c>
      <c r="D509" s="40" t="s">
        <v>1527</v>
      </c>
      <c r="E509" s="40"/>
      <c r="F509" s="40"/>
      <c r="G509" s="39"/>
      <c r="H509" s="42" t="s">
        <v>4199</v>
      </c>
      <c r="I509" s="188">
        <v>44985.0</v>
      </c>
      <c r="J509" s="188">
        <v>45688.0</v>
      </c>
      <c r="K509" s="189">
        <v>40.0</v>
      </c>
      <c r="L509" s="206"/>
      <c r="M509" s="186" t="s">
        <v>2893</v>
      </c>
      <c r="N509" s="42"/>
      <c r="O509" s="169"/>
      <c r="P509" s="169"/>
      <c r="Q509" s="169"/>
      <c r="R509" s="169"/>
      <c r="S509" s="169"/>
      <c r="T509" s="169"/>
      <c r="U509" s="169"/>
      <c r="V509" s="169"/>
      <c r="W509" s="169"/>
      <c r="X509" s="169"/>
      <c r="Y509" s="169"/>
      <c r="Z509" s="169"/>
      <c r="AA509" s="169"/>
      <c r="AB509" s="169"/>
      <c r="AC509" s="169"/>
      <c r="AD509" s="169"/>
      <c r="AE509" s="169"/>
      <c r="AF509" s="169"/>
      <c r="AG509" s="169"/>
      <c r="AH509" s="169"/>
    </row>
    <row r="510" ht="15.75" customHeight="1">
      <c r="A510" s="169"/>
      <c r="B510" s="38" t="s">
        <v>23</v>
      </c>
      <c r="C510" s="191" t="s">
        <v>4200</v>
      </c>
      <c r="D510" s="40" t="s">
        <v>1532</v>
      </c>
      <c r="E510" s="40"/>
      <c r="F510" s="40"/>
      <c r="G510" s="39"/>
      <c r="H510" s="42" t="s">
        <v>4201</v>
      </c>
      <c r="I510" s="188">
        <v>44985.0</v>
      </c>
      <c r="J510" s="188">
        <v>45717.0</v>
      </c>
      <c r="K510" s="189">
        <v>26.0</v>
      </c>
      <c r="L510" s="206"/>
      <c r="M510" s="186" t="s">
        <v>1564</v>
      </c>
      <c r="N510" s="42" t="s">
        <v>1565</v>
      </c>
      <c r="O510" s="169"/>
      <c r="P510" s="169"/>
      <c r="Q510" s="169"/>
      <c r="R510" s="169"/>
      <c r="S510" s="169"/>
      <c r="T510" s="169"/>
      <c r="U510" s="169"/>
      <c r="V510" s="169"/>
      <c r="W510" s="169"/>
      <c r="X510" s="169"/>
      <c r="Y510" s="169"/>
      <c r="Z510" s="169"/>
      <c r="AA510" s="169"/>
      <c r="AB510" s="169"/>
      <c r="AC510" s="169"/>
      <c r="AD510" s="169"/>
      <c r="AE510" s="169"/>
      <c r="AF510" s="169"/>
      <c r="AG510" s="169"/>
      <c r="AH510" s="169"/>
    </row>
    <row r="511" ht="15.75" customHeight="1">
      <c r="A511" s="169"/>
      <c r="B511" s="38" t="s">
        <v>23</v>
      </c>
      <c r="C511" s="191" t="s">
        <v>4202</v>
      </c>
      <c r="D511" s="40" t="s">
        <v>1532</v>
      </c>
      <c r="E511" s="40"/>
      <c r="F511" s="40"/>
      <c r="G511" s="39"/>
      <c r="H511" s="42" t="s">
        <v>4203</v>
      </c>
      <c r="I511" s="188">
        <v>44985.0</v>
      </c>
      <c r="J511" s="188">
        <v>45596.0</v>
      </c>
      <c r="K511" s="189">
        <v>54.0</v>
      </c>
      <c r="L511" s="206"/>
      <c r="M511" s="186" t="s">
        <v>2893</v>
      </c>
      <c r="N511" s="42"/>
      <c r="O511" s="169"/>
      <c r="P511" s="169"/>
      <c r="Q511" s="169"/>
      <c r="R511" s="169"/>
      <c r="S511" s="169"/>
      <c r="T511" s="169"/>
      <c r="U511" s="169"/>
      <c r="V511" s="169"/>
      <c r="W511" s="169"/>
      <c r="X511" s="169"/>
      <c r="Y511" s="169"/>
      <c r="Z511" s="169"/>
      <c r="AA511" s="169"/>
      <c r="AB511" s="169"/>
      <c r="AC511" s="169"/>
      <c r="AD511" s="169"/>
      <c r="AE511" s="169"/>
      <c r="AF511" s="169"/>
      <c r="AG511" s="169"/>
      <c r="AH511" s="169"/>
    </row>
    <row r="512" ht="15.75" customHeight="1">
      <c r="A512" s="169"/>
      <c r="B512" s="38" t="s">
        <v>23</v>
      </c>
      <c r="C512" s="191" t="s">
        <v>4204</v>
      </c>
      <c r="D512" s="40" t="s">
        <v>1413</v>
      </c>
      <c r="E512" s="40"/>
      <c r="F512" s="40"/>
      <c r="G512" s="39"/>
      <c r="H512" s="42" t="s">
        <v>4205</v>
      </c>
      <c r="I512" s="188">
        <v>45016.0</v>
      </c>
      <c r="J512" s="188">
        <v>45107.0</v>
      </c>
      <c r="K512" s="189">
        <v>74.0</v>
      </c>
      <c r="L512" s="206"/>
      <c r="M512" s="186" t="s">
        <v>2893</v>
      </c>
      <c r="N512" s="42"/>
      <c r="O512" s="169"/>
      <c r="P512" s="169"/>
      <c r="Q512" s="169"/>
      <c r="R512" s="169"/>
      <c r="S512" s="169"/>
      <c r="T512" s="169"/>
      <c r="U512" s="169"/>
      <c r="V512" s="169"/>
      <c r="W512" s="169"/>
      <c r="X512" s="169"/>
      <c r="Y512" s="169"/>
      <c r="Z512" s="169"/>
      <c r="AA512" s="169"/>
      <c r="AB512" s="169"/>
      <c r="AC512" s="169"/>
      <c r="AD512" s="169"/>
      <c r="AE512" s="169"/>
      <c r="AF512" s="169"/>
      <c r="AG512" s="169"/>
      <c r="AH512" s="169"/>
    </row>
    <row r="513" ht="15.75" customHeight="1">
      <c r="A513" s="169"/>
      <c r="B513" s="38" t="s">
        <v>23</v>
      </c>
      <c r="C513" s="191" t="s">
        <v>4206</v>
      </c>
      <c r="D513" s="40" t="s">
        <v>1413</v>
      </c>
      <c r="E513" s="40"/>
      <c r="F513" s="40"/>
      <c r="G513" s="39"/>
      <c r="H513" s="42" t="s">
        <v>4207</v>
      </c>
      <c r="I513" s="188">
        <v>45016.0</v>
      </c>
      <c r="J513" s="188">
        <v>45138.0</v>
      </c>
      <c r="K513" s="189">
        <v>120.0</v>
      </c>
      <c r="L513" s="206"/>
      <c r="M513" s="186" t="s">
        <v>2893</v>
      </c>
      <c r="N513" s="42"/>
      <c r="O513" s="169"/>
      <c r="P513" s="169"/>
      <c r="Q513" s="169"/>
      <c r="R513" s="169"/>
      <c r="S513" s="169"/>
      <c r="T513" s="169"/>
      <c r="U513" s="169"/>
      <c r="V513" s="169"/>
      <c r="W513" s="169"/>
      <c r="X513" s="169"/>
      <c r="Y513" s="169"/>
      <c r="Z513" s="169"/>
      <c r="AA513" s="169"/>
      <c r="AB513" s="169"/>
      <c r="AC513" s="169"/>
      <c r="AD513" s="169"/>
      <c r="AE513" s="169"/>
      <c r="AF513" s="169"/>
      <c r="AG513" s="169"/>
      <c r="AH513" s="169"/>
    </row>
    <row r="514" ht="15.75" customHeight="1">
      <c r="A514" s="169"/>
      <c r="B514" s="38" t="s">
        <v>23</v>
      </c>
      <c r="C514" s="191" t="s">
        <v>4208</v>
      </c>
      <c r="D514" s="40" t="s">
        <v>1532</v>
      </c>
      <c r="E514" s="40"/>
      <c r="F514" s="40"/>
      <c r="G514" s="39"/>
      <c r="H514" s="42" t="s">
        <v>4209</v>
      </c>
      <c r="I514" s="188">
        <v>45016.0</v>
      </c>
      <c r="J514" s="188">
        <v>45107.0</v>
      </c>
      <c r="K514" s="189">
        <v>25.0</v>
      </c>
      <c r="L514" s="206"/>
      <c r="M514" s="186" t="s">
        <v>1593</v>
      </c>
      <c r="N514" s="42" t="s">
        <v>1594</v>
      </c>
      <c r="O514" s="169"/>
      <c r="P514" s="169"/>
      <c r="Q514" s="169"/>
      <c r="R514" s="169"/>
      <c r="S514" s="169"/>
      <c r="T514" s="169"/>
      <c r="U514" s="169"/>
      <c r="V514" s="169"/>
      <c r="W514" s="169"/>
      <c r="X514" s="169"/>
      <c r="Y514" s="169"/>
      <c r="Z514" s="169"/>
      <c r="AA514" s="169"/>
      <c r="AB514" s="169"/>
      <c r="AC514" s="169"/>
      <c r="AD514" s="169"/>
      <c r="AE514" s="169"/>
      <c r="AF514" s="169"/>
      <c r="AG514" s="169"/>
      <c r="AH514" s="169"/>
    </row>
    <row r="515" ht="15.75" customHeight="1">
      <c r="A515" s="169"/>
      <c r="B515" s="38" t="s">
        <v>23</v>
      </c>
      <c r="C515" s="191" t="s">
        <v>4210</v>
      </c>
      <c r="D515" s="40" t="s">
        <v>1532</v>
      </c>
      <c r="E515" s="40"/>
      <c r="F515" s="40"/>
      <c r="G515" s="39"/>
      <c r="H515" s="42" t="s">
        <v>4211</v>
      </c>
      <c r="I515" s="188">
        <v>45016.0</v>
      </c>
      <c r="J515" s="188">
        <v>45596.0</v>
      </c>
      <c r="K515" s="189">
        <v>46.0</v>
      </c>
      <c r="L515" s="206"/>
      <c r="M515" s="186" t="s">
        <v>2893</v>
      </c>
      <c r="N515" s="42"/>
      <c r="O515" s="169"/>
      <c r="P515" s="169"/>
      <c r="Q515" s="169"/>
      <c r="R515" s="169"/>
      <c r="S515" s="169"/>
      <c r="T515" s="169"/>
      <c r="U515" s="169"/>
      <c r="V515" s="169"/>
      <c r="W515" s="169"/>
      <c r="X515" s="169"/>
      <c r="Y515" s="169"/>
      <c r="Z515" s="169"/>
      <c r="AA515" s="169"/>
      <c r="AB515" s="169"/>
      <c r="AC515" s="169"/>
      <c r="AD515" s="169"/>
      <c r="AE515" s="169"/>
      <c r="AF515" s="169"/>
      <c r="AG515" s="169"/>
      <c r="AH515" s="169"/>
    </row>
    <row r="516" ht="15.75" customHeight="1">
      <c r="A516" s="169"/>
      <c r="B516" s="38" t="s">
        <v>23</v>
      </c>
      <c r="C516" s="191" t="s">
        <v>4212</v>
      </c>
      <c r="D516" s="40" t="s">
        <v>1609</v>
      </c>
      <c r="E516" s="40"/>
      <c r="F516" s="40"/>
      <c r="G516" s="39"/>
      <c r="H516" s="42" t="s">
        <v>4213</v>
      </c>
      <c r="I516" s="188">
        <v>45016.0</v>
      </c>
      <c r="J516" s="188">
        <v>45535.0</v>
      </c>
      <c r="K516" s="189">
        <v>13.0</v>
      </c>
      <c r="L516" s="206"/>
      <c r="M516" s="186" t="s">
        <v>2893</v>
      </c>
      <c r="N516" s="42"/>
      <c r="O516" s="169"/>
      <c r="P516" s="169"/>
      <c r="Q516" s="169"/>
      <c r="R516" s="169"/>
      <c r="S516" s="169"/>
      <c r="T516" s="169"/>
      <c r="U516" s="169"/>
      <c r="V516" s="169"/>
      <c r="W516" s="169"/>
      <c r="X516" s="169"/>
      <c r="Y516" s="169"/>
      <c r="Z516" s="169"/>
      <c r="AA516" s="169"/>
      <c r="AB516" s="169"/>
      <c r="AC516" s="169"/>
      <c r="AD516" s="169"/>
      <c r="AE516" s="169"/>
      <c r="AF516" s="169"/>
      <c r="AG516" s="169"/>
      <c r="AH516" s="169"/>
    </row>
    <row r="517" ht="15.75" customHeight="1">
      <c r="A517" s="169"/>
      <c r="B517" s="38" t="s">
        <v>118</v>
      </c>
      <c r="C517" s="191" t="s">
        <v>918</v>
      </c>
      <c r="D517" s="40" t="s">
        <v>919</v>
      </c>
      <c r="E517" s="40"/>
      <c r="F517" s="40"/>
      <c r="G517" s="39"/>
      <c r="H517" s="42" t="s">
        <v>921</v>
      </c>
      <c r="I517" s="188">
        <v>44588.0</v>
      </c>
      <c r="J517" s="205">
        <f>I517+65</f>
        <v>44653</v>
      </c>
      <c r="K517" s="189">
        <v>25702.0</v>
      </c>
      <c r="L517" s="169"/>
      <c r="M517" s="192" t="s">
        <v>913</v>
      </c>
      <c r="N517" s="42" t="s">
        <v>914</v>
      </c>
      <c r="O517" s="169"/>
      <c r="P517" s="169"/>
      <c r="Q517" s="169"/>
      <c r="R517" s="169"/>
      <c r="S517" s="169"/>
      <c r="T517" s="169"/>
      <c r="U517" s="169"/>
      <c r="V517" s="169"/>
      <c r="W517" s="169"/>
      <c r="X517" s="169"/>
      <c r="Y517" s="169"/>
      <c r="Z517" s="169"/>
      <c r="AA517" s="169"/>
      <c r="AB517" s="169"/>
      <c r="AC517" s="169"/>
      <c r="AD517" s="169"/>
      <c r="AE517" s="169"/>
      <c r="AF517" s="169"/>
      <c r="AG517" s="169"/>
      <c r="AH517" s="169"/>
    </row>
    <row r="518" ht="15.75" customHeight="1">
      <c r="A518" s="169"/>
      <c r="B518" s="38" t="s">
        <v>23</v>
      </c>
      <c r="C518" s="191" t="s">
        <v>4214</v>
      </c>
      <c r="D518" s="40" t="s">
        <v>1897</v>
      </c>
      <c r="E518" s="40"/>
      <c r="F518" s="40"/>
      <c r="G518" s="39"/>
      <c r="H518" s="42" t="s">
        <v>4215</v>
      </c>
      <c r="I518" s="188">
        <v>45016.0</v>
      </c>
      <c r="J518" s="188">
        <v>45169.0</v>
      </c>
      <c r="K518" s="189">
        <v>19.0</v>
      </c>
      <c r="L518" s="206"/>
      <c r="M518" s="186" t="s">
        <v>2893</v>
      </c>
      <c r="N518" s="42"/>
      <c r="O518" s="169"/>
      <c r="P518" s="169"/>
      <c r="Q518" s="169"/>
      <c r="R518" s="169"/>
      <c r="S518" s="169"/>
      <c r="T518" s="169"/>
      <c r="U518" s="169"/>
      <c r="V518" s="169"/>
      <c r="W518" s="169"/>
      <c r="X518" s="169"/>
      <c r="Y518" s="169"/>
      <c r="Z518" s="169"/>
      <c r="AA518" s="169"/>
      <c r="AB518" s="169"/>
      <c r="AC518" s="169"/>
      <c r="AD518" s="169"/>
      <c r="AE518" s="169"/>
      <c r="AF518" s="169"/>
      <c r="AG518" s="169"/>
      <c r="AH518" s="169"/>
    </row>
    <row r="519" ht="15.75" customHeight="1">
      <c r="A519" s="169"/>
      <c r="B519" s="38" t="s">
        <v>23</v>
      </c>
      <c r="C519" s="191" t="s">
        <v>4216</v>
      </c>
      <c r="D519" s="40" t="s">
        <v>4217</v>
      </c>
      <c r="E519" s="40"/>
      <c r="F519" s="40"/>
      <c r="G519" s="39"/>
      <c r="H519" s="42" t="s">
        <v>4218</v>
      </c>
      <c r="I519" s="188">
        <v>45016.0</v>
      </c>
      <c r="J519" s="188">
        <v>45016.0</v>
      </c>
      <c r="K519" s="189">
        <v>2240.0</v>
      </c>
      <c r="L519" s="206"/>
      <c r="M519" s="186" t="s">
        <v>2893</v>
      </c>
      <c r="N519" s="42"/>
      <c r="O519" s="169"/>
      <c r="P519" s="169"/>
      <c r="Q519" s="169"/>
      <c r="R519" s="169"/>
      <c r="S519" s="169"/>
      <c r="T519" s="169"/>
      <c r="U519" s="169"/>
      <c r="V519" s="169"/>
      <c r="W519" s="169"/>
      <c r="X519" s="169"/>
      <c r="Y519" s="169"/>
      <c r="Z519" s="169"/>
      <c r="AA519" s="169"/>
      <c r="AB519" s="169"/>
      <c r="AC519" s="169"/>
      <c r="AD519" s="169"/>
      <c r="AE519" s="169"/>
      <c r="AF519" s="169"/>
      <c r="AG519" s="169"/>
      <c r="AH519" s="169"/>
    </row>
    <row r="520" ht="15.75" customHeight="1">
      <c r="A520" s="169"/>
      <c r="B520" s="38" t="s">
        <v>23</v>
      </c>
      <c r="C520" s="191" t="s">
        <v>4219</v>
      </c>
      <c r="D520" s="40" t="s">
        <v>4220</v>
      </c>
      <c r="E520" s="40"/>
      <c r="F520" s="40"/>
      <c r="G520" s="39"/>
      <c r="H520" s="42" t="s">
        <v>4221</v>
      </c>
      <c r="I520" s="188">
        <v>45016.0</v>
      </c>
      <c r="J520" s="188">
        <v>45016.0</v>
      </c>
      <c r="K520" s="189">
        <v>4160.0</v>
      </c>
      <c r="L520" s="206"/>
      <c r="M520" s="186" t="s">
        <v>2893</v>
      </c>
      <c r="N520" s="42"/>
      <c r="O520" s="169"/>
      <c r="P520" s="169"/>
      <c r="Q520" s="169"/>
      <c r="R520" s="169"/>
      <c r="S520" s="169"/>
      <c r="T520" s="169"/>
      <c r="U520" s="169"/>
      <c r="V520" s="169"/>
      <c r="W520" s="169"/>
      <c r="X520" s="169"/>
      <c r="Y520" s="169"/>
      <c r="Z520" s="169"/>
      <c r="AA520" s="169"/>
      <c r="AB520" s="169"/>
      <c r="AC520" s="169"/>
      <c r="AD520" s="169"/>
      <c r="AE520" s="169"/>
      <c r="AF520" s="169"/>
      <c r="AG520" s="169"/>
      <c r="AH520" s="169"/>
    </row>
    <row r="521" ht="15.75" customHeight="1">
      <c r="A521" s="169"/>
      <c r="B521" s="38" t="s">
        <v>23</v>
      </c>
      <c r="C521" s="191" t="s">
        <v>4222</v>
      </c>
      <c r="D521" s="40" t="s">
        <v>4223</v>
      </c>
      <c r="E521" s="40"/>
      <c r="F521" s="40"/>
      <c r="G521" s="39"/>
      <c r="H521" s="42" t="s">
        <v>4224</v>
      </c>
      <c r="I521" s="188">
        <v>45016.0</v>
      </c>
      <c r="J521" s="188">
        <v>45016.0</v>
      </c>
      <c r="K521" s="189">
        <v>8000.0</v>
      </c>
      <c r="L521" s="206"/>
      <c r="M521" s="186" t="s">
        <v>2893</v>
      </c>
      <c r="N521" s="42"/>
      <c r="O521" s="169"/>
      <c r="P521" s="169"/>
      <c r="Q521" s="169"/>
      <c r="R521" s="169"/>
      <c r="S521" s="169"/>
      <c r="T521" s="169"/>
      <c r="U521" s="169"/>
      <c r="V521" s="169"/>
      <c r="W521" s="169"/>
      <c r="X521" s="169"/>
      <c r="Y521" s="169"/>
      <c r="Z521" s="169"/>
      <c r="AA521" s="169"/>
      <c r="AB521" s="169"/>
      <c r="AC521" s="169"/>
      <c r="AD521" s="169"/>
      <c r="AE521" s="169"/>
      <c r="AF521" s="169"/>
      <c r="AG521" s="169"/>
      <c r="AH521" s="169"/>
    </row>
    <row r="522" ht="15.75" customHeight="1">
      <c r="A522" s="169"/>
      <c r="B522" s="38" t="s">
        <v>23</v>
      </c>
      <c r="C522" s="191" t="s">
        <v>4225</v>
      </c>
      <c r="D522" s="40" t="s">
        <v>4226</v>
      </c>
      <c r="E522" s="40"/>
      <c r="F522" s="40"/>
      <c r="G522" s="39"/>
      <c r="H522" s="42" t="s">
        <v>4227</v>
      </c>
      <c r="I522" s="188">
        <v>45016.0</v>
      </c>
      <c r="J522" s="188">
        <v>45016.0</v>
      </c>
      <c r="K522" s="189">
        <v>14720.0</v>
      </c>
      <c r="L522" s="206"/>
      <c r="M522" s="186" t="s">
        <v>2893</v>
      </c>
      <c r="N522" s="42"/>
      <c r="O522" s="169"/>
      <c r="P522" s="169"/>
      <c r="Q522" s="169"/>
      <c r="R522" s="169"/>
      <c r="S522" s="169"/>
      <c r="T522" s="169"/>
      <c r="U522" s="169"/>
      <c r="V522" s="169"/>
      <c r="W522" s="169"/>
      <c r="X522" s="169"/>
      <c r="Y522" s="169"/>
      <c r="Z522" s="169"/>
      <c r="AA522" s="169"/>
      <c r="AB522" s="169"/>
      <c r="AC522" s="169"/>
      <c r="AD522" s="169"/>
      <c r="AE522" s="169"/>
      <c r="AF522" s="169"/>
      <c r="AG522" s="169"/>
      <c r="AH522" s="169"/>
    </row>
    <row r="523" ht="15.75" customHeight="1">
      <c r="A523" s="169"/>
      <c r="B523" s="38" t="s">
        <v>23</v>
      </c>
      <c r="C523" s="191" t="s">
        <v>4228</v>
      </c>
      <c r="D523" s="40" t="s">
        <v>4229</v>
      </c>
      <c r="E523" s="40"/>
      <c r="F523" s="40"/>
      <c r="G523" s="39"/>
      <c r="H523" s="42" t="s">
        <v>4230</v>
      </c>
      <c r="I523" s="188">
        <v>45016.0</v>
      </c>
      <c r="J523" s="188">
        <v>45016.0</v>
      </c>
      <c r="K523" s="189">
        <v>26880.0</v>
      </c>
      <c r="L523" s="206"/>
      <c r="M523" s="186" t="s">
        <v>2893</v>
      </c>
      <c r="N523" s="42"/>
      <c r="O523" s="169"/>
      <c r="P523" s="169"/>
      <c r="Q523" s="169"/>
      <c r="R523" s="169"/>
      <c r="S523" s="169"/>
      <c r="T523" s="169"/>
      <c r="U523" s="169"/>
      <c r="V523" s="169"/>
      <c r="W523" s="169"/>
      <c r="X523" s="169"/>
      <c r="Y523" s="169"/>
      <c r="Z523" s="169"/>
      <c r="AA523" s="169"/>
      <c r="AB523" s="169"/>
      <c r="AC523" s="169"/>
      <c r="AD523" s="169"/>
      <c r="AE523" s="169"/>
      <c r="AF523" s="169"/>
      <c r="AG523" s="169"/>
      <c r="AH523" s="169"/>
    </row>
    <row r="524" ht="15.75" customHeight="1">
      <c r="A524" s="169"/>
      <c r="B524" s="38" t="s">
        <v>2119</v>
      </c>
      <c r="C524" s="191" t="s">
        <v>4231</v>
      </c>
      <c r="D524" s="40" t="s">
        <v>4232</v>
      </c>
      <c r="E524" s="40"/>
      <c r="F524" s="40"/>
      <c r="G524" s="39"/>
      <c r="H524" s="42" t="s">
        <v>4233</v>
      </c>
      <c r="I524" s="188">
        <v>45016.0</v>
      </c>
      <c r="J524" s="188">
        <v>45016.0</v>
      </c>
      <c r="K524" s="189">
        <v>1200.0</v>
      </c>
      <c r="L524" s="206"/>
      <c r="M524" s="186" t="s">
        <v>2893</v>
      </c>
      <c r="N524" s="42"/>
      <c r="O524" s="169"/>
      <c r="P524" s="169"/>
      <c r="Q524" s="169"/>
      <c r="R524" s="169"/>
      <c r="S524" s="169"/>
      <c r="T524" s="169"/>
      <c r="U524" s="169"/>
      <c r="V524" s="169"/>
      <c r="W524" s="169"/>
      <c r="X524" s="169"/>
      <c r="Y524" s="169"/>
      <c r="Z524" s="169"/>
      <c r="AA524" s="169"/>
      <c r="AB524" s="169"/>
      <c r="AC524" s="169"/>
      <c r="AD524" s="169"/>
      <c r="AE524" s="169"/>
      <c r="AF524" s="169"/>
      <c r="AG524" s="169"/>
      <c r="AH524" s="169"/>
    </row>
    <row r="525" ht="15.75" customHeight="1">
      <c r="A525" s="169"/>
      <c r="B525" s="38" t="s">
        <v>2119</v>
      </c>
      <c r="C525" s="191" t="s">
        <v>4234</v>
      </c>
      <c r="D525" s="40" t="s">
        <v>4235</v>
      </c>
      <c r="E525" s="40"/>
      <c r="F525" s="40"/>
      <c r="G525" s="39"/>
      <c r="H525" s="42" t="s">
        <v>4236</v>
      </c>
      <c r="I525" s="188">
        <v>45016.0</v>
      </c>
      <c r="J525" s="188">
        <v>45016.0</v>
      </c>
      <c r="K525" s="189">
        <v>2160.0</v>
      </c>
      <c r="L525" s="206"/>
      <c r="M525" s="186" t="s">
        <v>2893</v>
      </c>
      <c r="N525" s="42"/>
      <c r="O525" s="169"/>
      <c r="P525" s="169"/>
      <c r="Q525" s="169"/>
      <c r="R525" s="169"/>
      <c r="S525" s="169"/>
      <c r="T525" s="169"/>
      <c r="U525" s="169"/>
      <c r="V525" s="169"/>
      <c r="W525" s="169"/>
      <c r="X525" s="169"/>
      <c r="Y525" s="169"/>
      <c r="Z525" s="169"/>
      <c r="AA525" s="169"/>
      <c r="AB525" s="169"/>
      <c r="AC525" s="169"/>
      <c r="AD525" s="169"/>
      <c r="AE525" s="169"/>
      <c r="AF525" s="169"/>
      <c r="AG525" s="169"/>
      <c r="AH525" s="169"/>
    </row>
    <row r="526" ht="15.75" customHeight="1">
      <c r="A526" s="169"/>
      <c r="B526" s="38" t="s">
        <v>2119</v>
      </c>
      <c r="C526" s="191" t="s">
        <v>4237</v>
      </c>
      <c r="D526" s="40" t="s">
        <v>4238</v>
      </c>
      <c r="E526" s="40"/>
      <c r="F526" s="40"/>
      <c r="G526" s="39"/>
      <c r="H526" s="42" t="s">
        <v>4239</v>
      </c>
      <c r="I526" s="188">
        <v>45016.0</v>
      </c>
      <c r="J526" s="188">
        <v>45016.0</v>
      </c>
      <c r="K526" s="189">
        <v>3840.0</v>
      </c>
      <c r="L526" s="206"/>
      <c r="M526" s="186" t="s">
        <v>2893</v>
      </c>
      <c r="N526" s="42"/>
      <c r="O526" s="169"/>
      <c r="P526" s="169"/>
      <c r="Q526" s="169"/>
      <c r="R526" s="169"/>
      <c r="S526" s="169"/>
      <c r="T526" s="169"/>
      <c r="U526" s="169"/>
      <c r="V526" s="169"/>
      <c r="W526" s="169"/>
      <c r="X526" s="169"/>
      <c r="Y526" s="169"/>
      <c r="Z526" s="169"/>
      <c r="AA526" s="169"/>
      <c r="AB526" s="169"/>
      <c r="AC526" s="169"/>
      <c r="AD526" s="169"/>
      <c r="AE526" s="169"/>
      <c r="AF526" s="169"/>
      <c r="AG526" s="169"/>
      <c r="AH526" s="169"/>
    </row>
    <row r="527" ht="15.75" customHeight="1">
      <c r="A527" s="169"/>
      <c r="B527" s="38" t="s">
        <v>2119</v>
      </c>
      <c r="C527" s="191" t="s">
        <v>4240</v>
      </c>
      <c r="D527" s="40" t="s">
        <v>4241</v>
      </c>
      <c r="E527" s="40"/>
      <c r="F527" s="40"/>
      <c r="G527" s="39"/>
      <c r="H527" s="42" t="s">
        <v>4242</v>
      </c>
      <c r="I527" s="188">
        <v>45016.0</v>
      </c>
      <c r="J527" s="188">
        <v>45016.0</v>
      </c>
      <c r="K527" s="189">
        <v>5400.0</v>
      </c>
      <c r="L527" s="206"/>
      <c r="M527" s="186" t="s">
        <v>2893</v>
      </c>
      <c r="N527" s="42"/>
      <c r="O527" s="169"/>
      <c r="P527" s="169"/>
      <c r="Q527" s="169"/>
      <c r="R527" s="169"/>
      <c r="S527" s="169"/>
      <c r="T527" s="169"/>
      <c r="U527" s="169"/>
      <c r="V527" s="169"/>
      <c r="W527" s="169"/>
      <c r="X527" s="169"/>
      <c r="Y527" s="169"/>
      <c r="Z527" s="169"/>
      <c r="AA527" s="169"/>
      <c r="AB527" s="169"/>
      <c r="AC527" s="169"/>
      <c r="AD527" s="169"/>
      <c r="AE527" s="169"/>
      <c r="AF527" s="169"/>
      <c r="AG527" s="169"/>
      <c r="AH527" s="169"/>
    </row>
    <row r="528" ht="15.75" customHeight="1">
      <c r="A528" s="169"/>
      <c r="B528" s="38" t="s">
        <v>2119</v>
      </c>
      <c r="C528" s="191" t="s">
        <v>4243</v>
      </c>
      <c r="D528" s="40" t="s">
        <v>4244</v>
      </c>
      <c r="E528" s="40"/>
      <c r="F528" s="40"/>
      <c r="G528" s="39"/>
      <c r="H528" s="42" t="s">
        <v>4245</v>
      </c>
      <c r="I528" s="188">
        <v>45016.0</v>
      </c>
      <c r="J528" s="188">
        <v>45016.0</v>
      </c>
      <c r="K528" s="189">
        <v>7560.0</v>
      </c>
      <c r="L528" s="206"/>
      <c r="M528" s="186" t="s">
        <v>2893</v>
      </c>
      <c r="N528" s="42"/>
      <c r="O528" s="169"/>
      <c r="P528" s="169"/>
      <c r="Q528" s="169"/>
      <c r="R528" s="169"/>
      <c r="S528" s="169"/>
      <c r="T528" s="169"/>
      <c r="U528" s="169"/>
      <c r="V528" s="169"/>
      <c r="W528" s="169"/>
      <c r="X528" s="169"/>
      <c r="Y528" s="169"/>
      <c r="Z528" s="169"/>
      <c r="AA528" s="169"/>
      <c r="AB528" s="169"/>
      <c r="AC528" s="169"/>
      <c r="AD528" s="169"/>
      <c r="AE528" s="169"/>
      <c r="AF528" s="169"/>
      <c r="AG528" s="169"/>
      <c r="AH528" s="169"/>
    </row>
    <row r="529" ht="15.75" customHeight="1">
      <c r="A529" s="169"/>
      <c r="B529" s="38" t="s">
        <v>2119</v>
      </c>
      <c r="C529" s="191" t="s">
        <v>4246</v>
      </c>
      <c r="D529" s="40" t="s">
        <v>4247</v>
      </c>
      <c r="E529" s="40"/>
      <c r="F529" s="40"/>
      <c r="G529" s="39"/>
      <c r="H529" s="42" t="s">
        <v>4248</v>
      </c>
      <c r="I529" s="188">
        <v>45016.0</v>
      </c>
      <c r="J529" s="188">
        <v>45016.0</v>
      </c>
      <c r="K529" s="189">
        <v>10080.0</v>
      </c>
      <c r="L529" s="206"/>
      <c r="M529" s="186" t="s">
        <v>2893</v>
      </c>
      <c r="N529" s="42"/>
      <c r="O529" s="169"/>
      <c r="P529" s="169"/>
      <c r="Q529" s="169"/>
      <c r="R529" s="169"/>
      <c r="S529" s="169"/>
      <c r="T529" s="169"/>
      <c r="U529" s="169"/>
      <c r="V529" s="169"/>
      <c r="W529" s="169"/>
      <c r="X529" s="169"/>
      <c r="Y529" s="169"/>
      <c r="Z529" s="169"/>
      <c r="AA529" s="169"/>
      <c r="AB529" s="169"/>
      <c r="AC529" s="169"/>
      <c r="AD529" s="169"/>
      <c r="AE529" s="169"/>
      <c r="AF529" s="169"/>
      <c r="AG529" s="169"/>
      <c r="AH529" s="169"/>
    </row>
    <row r="530" ht="15.75" customHeight="1">
      <c r="A530" s="169"/>
      <c r="B530" s="38" t="s">
        <v>2119</v>
      </c>
      <c r="C530" s="191" t="s">
        <v>4249</v>
      </c>
      <c r="D530" s="40" t="s">
        <v>4250</v>
      </c>
      <c r="E530" s="40"/>
      <c r="F530" s="40"/>
      <c r="G530" s="39"/>
      <c r="H530" s="42" t="s">
        <v>4251</v>
      </c>
      <c r="I530" s="188">
        <v>45016.0</v>
      </c>
      <c r="J530" s="188">
        <v>45016.0</v>
      </c>
      <c r="K530" s="189">
        <v>400.0</v>
      </c>
      <c r="L530" s="206"/>
      <c r="M530" s="186" t="s">
        <v>2893</v>
      </c>
      <c r="N530" s="42"/>
      <c r="O530" s="169"/>
      <c r="P530" s="169"/>
      <c r="Q530" s="169"/>
      <c r="R530" s="169"/>
      <c r="S530" s="169"/>
      <c r="T530" s="169"/>
      <c r="U530" s="169"/>
      <c r="V530" s="169"/>
      <c r="W530" s="169"/>
      <c r="X530" s="169"/>
      <c r="Y530" s="169"/>
      <c r="Z530" s="169"/>
      <c r="AA530" s="169"/>
      <c r="AB530" s="169"/>
      <c r="AC530" s="169"/>
      <c r="AD530" s="169"/>
      <c r="AE530" s="169"/>
      <c r="AF530" s="169"/>
      <c r="AG530" s="169"/>
      <c r="AH530" s="169"/>
    </row>
    <row r="531" ht="15.75" customHeight="1">
      <c r="A531" s="169"/>
      <c r="B531" s="38" t="s">
        <v>2119</v>
      </c>
      <c r="C531" s="191" t="s">
        <v>4252</v>
      </c>
      <c r="D531" s="40" t="s">
        <v>4253</v>
      </c>
      <c r="E531" s="40"/>
      <c r="F531" s="40"/>
      <c r="G531" s="39"/>
      <c r="H531" s="42" t="s">
        <v>4254</v>
      </c>
      <c r="I531" s="188">
        <v>45016.0</v>
      </c>
      <c r="J531" s="188">
        <v>45016.0</v>
      </c>
      <c r="K531" s="189">
        <v>1400.0</v>
      </c>
      <c r="L531" s="206"/>
      <c r="M531" s="186" t="s">
        <v>2893</v>
      </c>
      <c r="N531" s="42"/>
      <c r="O531" s="169"/>
      <c r="P531" s="169"/>
      <c r="Q531" s="169"/>
      <c r="R531" s="169"/>
      <c r="S531" s="169"/>
      <c r="T531" s="169"/>
      <c r="U531" s="169"/>
      <c r="V531" s="169"/>
      <c r="W531" s="169"/>
      <c r="X531" s="169"/>
      <c r="Y531" s="169"/>
      <c r="Z531" s="169"/>
      <c r="AA531" s="169"/>
      <c r="AB531" s="169"/>
      <c r="AC531" s="169"/>
      <c r="AD531" s="169"/>
      <c r="AE531" s="169"/>
      <c r="AF531" s="169"/>
      <c r="AG531" s="169"/>
      <c r="AH531" s="169"/>
    </row>
    <row r="532" ht="15.75" customHeight="1">
      <c r="A532" s="169"/>
      <c r="B532" s="38" t="s">
        <v>2119</v>
      </c>
      <c r="C532" s="191" t="s">
        <v>4255</v>
      </c>
      <c r="D532" s="40" t="s">
        <v>4256</v>
      </c>
      <c r="E532" s="40"/>
      <c r="F532" s="40"/>
      <c r="G532" s="39"/>
      <c r="H532" s="42" t="s">
        <v>4257</v>
      </c>
      <c r="I532" s="188">
        <v>45016.0</v>
      </c>
      <c r="J532" s="188">
        <v>45016.0</v>
      </c>
      <c r="K532" s="189">
        <v>2520.0</v>
      </c>
      <c r="L532" s="206"/>
      <c r="M532" s="186" t="s">
        <v>2893</v>
      </c>
      <c r="N532" s="42"/>
      <c r="O532" s="169"/>
      <c r="P532" s="169"/>
      <c r="Q532" s="169"/>
      <c r="R532" s="169"/>
      <c r="S532" s="169"/>
      <c r="T532" s="169"/>
      <c r="U532" s="169"/>
      <c r="V532" s="169"/>
      <c r="W532" s="169"/>
      <c r="X532" s="169"/>
      <c r="Y532" s="169"/>
      <c r="Z532" s="169"/>
      <c r="AA532" s="169"/>
      <c r="AB532" s="169"/>
      <c r="AC532" s="169"/>
      <c r="AD532" s="169"/>
      <c r="AE532" s="169"/>
      <c r="AF532" s="169"/>
      <c r="AG532" s="169"/>
      <c r="AH532" s="169"/>
    </row>
    <row r="533" ht="15.75" customHeight="1">
      <c r="A533" s="169"/>
      <c r="B533" s="38" t="s">
        <v>2119</v>
      </c>
      <c r="C533" s="191" t="s">
        <v>4258</v>
      </c>
      <c r="D533" s="40" t="s">
        <v>4259</v>
      </c>
      <c r="E533" s="40"/>
      <c r="F533" s="40"/>
      <c r="G533" s="39"/>
      <c r="H533" s="42" t="s">
        <v>4260</v>
      </c>
      <c r="I533" s="188">
        <v>45016.0</v>
      </c>
      <c r="J533" s="188">
        <v>45016.0</v>
      </c>
      <c r="K533" s="189">
        <v>4480.0</v>
      </c>
      <c r="L533" s="206"/>
      <c r="M533" s="186" t="s">
        <v>2893</v>
      </c>
      <c r="N533" s="42"/>
      <c r="O533" s="169"/>
      <c r="P533" s="169"/>
      <c r="Q533" s="169"/>
      <c r="R533" s="169"/>
      <c r="S533" s="169"/>
      <c r="T533" s="169"/>
      <c r="U533" s="169"/>
      <c r="V533" s="169"/>
      <c r="W533" s="169"/>
      <c r="X533" s="169"/>
      <c r="Y533" s="169"/>
      <c r="Z533" s="169"/>
      <c r="AA533" s="169"/>
      <c r="AB533" s="169"/>
      <c r="AC533" s="169"/>
      <c r="AD533" s="169"/>
      <c r="AE533" s="169"/>
      <c r="AF533" s="169"/>
      <c r="AG533" s="169"/>
      <c r="AH533" s="169"/>
    </row>
    <row r="534" ht="15.75" customHeight="1">
      <c r="A534" s="169"/>
      <c r="B534" s="38" t="s">
        <v>2119</v>
      </c>
      <c r="C534" s="191" t="s">
        <v>4261</v>
      </c>
      <c r="D534" s="40" t="s">
        <v>4262</v>
      </c>
      <c r="E534" s="40"/>
      <c r="F534" s="40"/>
      <c r="G534" s="39"/>
      <c r="H534" s="42" t="s">
        <v>4263</v>
      </c>
      <c r="I534" s="188">
        <v>45016.0</v>
      </c>
      <c r="J534" s="188">
        <v>45016.0</v>
      </c>
      <c r="K534" s="189">
        <v>6300.0</v>
      </c>
      <c r="L534" s="206"/>
      <c r="M534" s="186" t="s">
        <v>2893</v>
      </c>
      <c r="N534" s="42"/>
      <c r="O534" s="169"/>
      <c r="P534" s="169"/>
      <c r="Q534" s="169"/>
      <c r="R534" s="169"/>
      <c r="S534" s="169"/>
      <c r="T534" s="169"/>
      <c r="U534" s="169"/>
      <c r="V534" s="169"/>
      <c r="W534" s="169"/>
      <c r="X534" s="169"/>
      <c r="Y534" s="169"/>
      <c r="Z534" s="169"/>
      <c r="AA534" s="169"/>
      <c r="AB534" s="169"/>
      <c r="AC534" s="169"/>
      <c r="AD534" s="169"/>
      <c r="AE534" s="169"/>
      <c r="AF534" s="169"/>
      <c r="AG534" s="169"/>
      <c r="AH534" s="169"/>
    </row>
    <row r="535" ht="15.75" customHeight="1">
      <c r="A535" s="169"/>
      <c r="B535" s="38" t="s">
        <v>2119</v>
      </c>
      <c r="C535" s="191" t="s">
        <v>4264</v>
      </c>
      <c r="D535" s="40" t="s">
        <v>4265</v>
      </c>
      <c r="E535" s="40"/>
      <c r="F535" s="40"/>
      <c r="G535" s="39"/>
      <c r="H535" s="42" t="s">
        <v>4266</v>
      </c>
      <c r="I535" s="188">
        <v>45016.0</v>
      </c>
      <c r="J535" s="188">
        <v>45016.0</v>
      </c>
      <c r="K535" s="189">
        <v>8820.0</v>
      </c>
      <c r="L535" s="206"/>
      <c r="M535" s="186" t="s">
        <v>2893</v>
      </c>
      <c r="N535" s="42"/>
      <c r="O535" s="169"/>
      <c r="P535" s="169"/>
      <c r="Q535" s="169"/>
      <c r="R535" s="169"/>
      <c r="S535" s="169"/>
      <c r="T535" s="169"/>
      <c r="U535" s="169"/>
      <c r="V535" s="169"/>
      <c r="W535" s="169"/>
      <c r="X535" s="169"/>
      <c r="Y535" s="169"/>
      <c r="Z535" s="169"/>
      <c r="AA535" s="169"/>
      <c r="AB535" s="169"/>
      <c r="AC535" s="169"/>
      <c r="AD535" s="169"/>
      <c r="AE535" s="169"/>
      <c r="AF535" s="169"/>
      <c r="AG535" s="169"/>
      <c r="AH535" s="169"/>
    </row>
    <row r="536" ht="15.75" customHeight="1">
      <c r="A536" s="169"/>
      <c r="B536" s="38" t="s">
        <v>2119</v>
      </c>
      <c r="C536" s="191" t="s">
        <v>4267</v>
      </c>
      <c r="D536" s="40" t="s">
        <v>4268</v>
      </c>
      <c r="E536" s="40"/>
      <c r="F536" s="40"/>
      <c r="G536" s="39"/>
      <c r="H536" s="42" t="s">
        <v>4269</v>
      </c>
      <c r="I536" s="188">
        <v>45016.0</v>
      </c>
      <c r="J536" s="188">
        <v>45016.0</v>
      </c>
      <c r="K536" s="189">
        <v>11760.0</v>
      </c>
      <c r="L536" s="206"/>
      <c r="M536" s="186" t="s">
        <v>2893</v>
      </c>
      <c r="N536" s="42"/>
      <c r="O536" s="169"/>
      <c r="P536" s="169"/>
      <c r="Q536" s="169"/>
      <c r="R536" s="169"/>
      <c r="S536" s="169"/>
      <c r="T536" s="169"/>
      <c r="U536" s="169"/>
      <c r="V536" s="169"/>
      <c r="W536" s="169"/>
      <c r="X536" s="169"/>
      <c r="Y536" s="169"/>
      <c r="Z536" s="169"/>
      <c r="AA536" s="169"/>
      <c r="AB536" s="169"/>
      <c r="AC536" s="169"/>
      <c r="AD536" s="169"/>
      <c r="AE536" s="169"/>
      <c r="AF536" s="169"/>
      <c r="AG536" s="169"/>
      <c r="AH536" s="169"/>
    </row>
    <row r="537" ht="15.75" customHeight="1">
      <c r="A537" s="169"/>
      <c r="B537" s="38" t="s">
        <v>2119</v>
      </c>
      <c r="C537" s="191" t="s">
        <v>4270</v>
      </c>
      <c r="D537" s="40" t="s">
        <v>4271</v>
      </c>
      <c r="E537" s="40"/>
      <c r="F537" s="40"/>
      <c r="G537" s="39"/>
      <c r="H537" s="42" t="s">
        <v>4272</v>
      </c>
      <c r="I537" s="188">
        <v>45016.0</v>
      </c>
      <c r="J537" s="188">
        <v>45016.0</v>
      </c>
      <c r="K537" s="189">
        <v>1600.0</v>
      </c>
      <c r="L537" s="206"/>
      <c r="M537" s="186" t="s">
        <v>2893</v>
      </c>
      <c r="N537" s="42"/>
      <c r="O537" s="169"/>
      <c r="P537" s="169"/>
      <c r="Q537" s="169"/>
      <c r="R537" s="169"/>
      <c r="S537" s="169"/>
      <c r="T537" s="169"/>
      <c r="U537" s="169"/>
      <c r="V537" s="169"/>
      <c r="W537" s="169"/>
      <c r="X537" s="169"/>
      <c r="Y537" s="169"/>
      <c r="Z537" s="169"/>
      <c r="AA537" s="169"/>
      <c r="AB537" s="169"/>
      <c r="AC537" s="169"/>
      <c r="AD537" s="169"/>
      <c r="AE537" s="169"/>
      <c r="AF537" s="169"/>
      <c r="AG537" s="169"/>
      <c r="AH537" s="169"/>
    </row>
    <row r="538" ht="15.75" customHeight="1">
      <c r="A538" s="169"/>
      <c r="B538" s="38" t="s">
        <v>2119</v>
      </c>
      <c r="C538" s="191" t="s">
        <v>4273</v>
      </c>
      <c r="D538" s="40" t="s">
        <v>4274</v>
      </c>
      <c r="E538" s="40"/>
      <c r="F538" s="40"/>
      <c r="G538" s="39"/>
      <c r="H538" s="42" t="s">
        <v>4275</v>
      </c>
      <c r="I538" s="188">
        <v>45016.0</v>
      </c>
      <c r="J538" s="188">
        <v>45016.0</v>
      </c>
      <c r="K538" s="189">
        <v>2880.0</v>
      </c>
      <c r="L538" s="206"/>
      <c r="M538" s="186" t="s">
        <v>2893</v>
      </c>
      <c r="N538" s="42"/>
      <c r="O538" s="169"/>
      <c r="P538" s="169"/>
      <c r="Q538" s="169"/>
      <c r="R538" s="169"/>
      <c r="S538" s="169"/>
      <c r="T538" s="169"/>
      <c r="U538" s="169"/>
      <c r="V538" s="169"/>
      <c r="W538" s="169"/>
      <c r="X538" s="169"/>
      <c r="Y538" s="169"/>
      <c r="Z538" s="169"/>
      <c r="AA538" s="169"/>
      <c r="AB538" s="169"/>
      <c r="AC538" s="169"/>
      <c r="AD538" s="169"/>
      <c r="AE538" s="169"/>
      <c r="AF538" s="169"/>
      <c r="AG538" s="169"/>
      <c r="AH538" s="169"/>
    </row>
    <row r="539" ht="15.75" customHeight="1">
      <c r="A539" s="169"/>
      <c r="B539" s="38" t="s">
        <v>2119</v>
      </c>
      <c r="C539" s="191" t="s">
        <v>4276</v>
      </c>
      <c r="D539" s="40" t="s">
        <v>4277</v>
      </c>
      <c r="E539" s="40"/>
      <c r="F539" s="40"/>
      <c r="G539" s="39"/>
      <c r="H539" s="42" t="s">
        <v>4278</v>
      </c>
      <c r="I539" s="188">
        <v>45016.0</v>
      </c>
      <c r="J539" s="188">
        <v>45016.0</v>
      </c>
      <c r="K539" s="189">
        <v>5120.0</v>
      </c>
      <c r="L539" s="206"/>
      <c r="M539" s="186" t="s">
        <v>2893</v>
      </c>
      <c r="N539" s="42"/>
      <c r="O539" s="169"/>
      <c r="P539" s="169"/>
      <c r="Q539" s="169"/>
      <c r="R539" s="169"/>
      <c r="S539" s="169"/>
      <c r="T539" s="169"/>
      <c r="U539" s="169"/>
      <c r="V539" s="169"/>
      <c r="W539" s="169"/>
      <c r="X539" s="169"/>
      <c r="Y539" s="169"/>
      <c r="Z539" s="169"/>
      <c r="AA539" s="169"/>
      <c r="AB539" s="169"/>
      <c r="AC539" s="169"/>
      <c r="AD539" s="169"/>
      <c r="AE539" s="169"/>
      <c r="AF539" s="169"/>
      <c r="AG539" s="169"/>
      <c r="AH539" s="169"/>
    </row>
    <row r="540" ht="15.75" customHeight="1">
      <c r="A540" s="169"/>
      <c r="B540" s="38" t="s">
        <v>2119</v>
      </c>
      <c r="C540" s="191" t="s">
        <v>4279</v>
      </c>
      <c r="D540" s="40" t="s">
        <v>4280</v>
      </c>
      <c r="E540" s="40"/>
      <c r="F540" s="40"/>
      <c r="G540" s="39"/>
      <c r="H540" s="42" t="s">
        <v>4281</v>
      </c>
      <c r="I540" s="188">
        <v>45016.0</v>
      </c>
      <c r="J540" s="188">
        <v>45016.0</v>
      </c>
      <c r="K540" s="189">
        <v>7200.0</v>
      </c>
      <c r="L540" s="206"/>
      <c r="M540" s="186" t="s">
        <v>2893</v>
      </c>
      <c r="N540" s="42"/>
      <c r="O540" s="169"/>
      <c r="P540" s="169"/>
      <c r="Q540" s="169"/>
      <c r="R540" s="169"/>
      <c r="S540" s="169"/>
      <c r="T540" s="169"/>
      <c r="U540" s="169"/>
      <c r="V540" s="169"/>
      <c r="W540" s="169"/>
      <c r="X540" s="169"/>
      <c r="Y540" s="169"/>
      <c r="Z540" s="169"/>
      <c r="AA540" s="169"/>
      <c r="AB540" s="169"/>
      <c r="AC540" s="169"/>
      <c r="AD540" s="169"/>
      <c r="AE540" s="169"/>
      <c r="AF540" s="169"/>
      <c r="AG540" s="169"/>
      <c r="AH540" s="169"/>
    </row>
    <row r="541" ht="15.75" customHeight="1">
      <c r="A541" s="169"/>
      <c r="B541" s="38" t="s">
        <v>2119</v>
      </c>
      <c r="C541" s="191" t="s">
        <v>4282</v>
      </c>
      <c r="D541" s="40" t="s">
        <v>4283</v>
      </c>
      <c r="E541" s="40"/>
      <c r="F541" s="40"/>
      <c r="G541" s="39"/>
      <c r="H541" s="42" t="s">
        <v>4284</v>
      </c>
      <c r="I541" s="188">
        <v>45016.0</v>
      </c>
      <c r="J541" s="188">
        <v>45016.0</v>
      </c>
      <c r="K541" s="189">
        <v>10080.0</v>
      </c>
      <c r="L541" s="206"/>
      <c r="M541" s="186" t="s">
        <v>2893</v>
      </c>
      <c r="N541" s="42"/>
      <c r="O541" s="169"/>
      <c r="P541" s="169"/>
      <c r="Q541" s="169"/>
      <c r="R541" s="169"/>
      <c r="S541" s="169"/>
      <c r="T541" s="169"/>
      <c r="U541" s="169"/>
      <c r="V541" s="169"/>
      <c r="W541" s="169"/>
      <c r="X541" s="169"/>
      <c r="Y541" s="169"/>
      <c r="Z541" s="169"/>
      <c r="AA541" s="169"/>
      <c r="AB541" s="169"/>
      <c r="AC541" s="169"/>
      <c r="AD541" s="169"/>
      <c r="AE541" s="169"/>
      <c r="AF541" s="169"/>
      <c r="AG541" s="169"/>
      <c r="AH541" s="169"/>
    </row>
    <row r="542" ht="15.75" customHeight="1">
      <c r="A542" s="169"/>
      <c r="B542" s="38" t="s">
        <v>2119</v>
      </c>
      <c r="C542" s="191" t="s">
        <v>4285</v>
      </c>
      <c r="D542" s="40" t="s">
        <v>4286</v>
      </c>
      <c r="E542" s="40"/>
      <c r="F542" s="40"/>
      <c r="G542" s="39"/>
      <c r="H542" s="42" t="s">
        <v>4287</v>
      </c>
      <c r="I542" s="188">
        <v>45016.0</v>
      </c>
      <c r="J542" s="188">
        <v>45016.0</v>
      </c>
      <c r="K542" s="189">
        <v>13440.0</v>
      </c>
      <c r="L542" s="206"/>
      <c r="M542" s="186" t="s">
        <v>2893</v>
      </c>
      <c r="N542" s="42"/>
      <c r="O542" s="169"/>
      <c r="P542" s="169"/>
      <c r="Q542" s="169"/>
      <c r="R542" s="169"/>
      <c r="S542" s="169"/>
      <c r="T542" s="169"/>
      <c r="U542" s="169"/>
      <c r="V542" s="169"/>
      <c r="W542" s="169"/>
      <c r="X542" s="169"/>
      <c r="Y542" s="169"/>
      <c r="Z542" s="169"/>
      <c r="AA542" s="169"/>
      <c r="AB542" s="169"/>
      <c r="AC542" s="169"/>
      <c r="AD542" s="169"/>
      <c r="AE542" s="169"/>
      <c r="AF542" s="169"/>
      <c r="AG542" s="169"/>
      <c r="AH542" s="169"/>
    </row>
    <row r="543" ht="15.75" customHeight="1">
      <c r="A543" s="169"/>
      <c r="B543" s="38" t="s">
        <v>1031</v>
      </c>
      <c r="C543" s="191" t="s">
        <v>3515</v>
      </c>
      <c r="D543" s="40" t="s">
        <v>3292</v>
      </c>
      <c r="E543" s="40"/>
      <c r="F543" s="40"/>
      <c r="G543" s="39"/>
      <c r="H543" s="42" t="s">
        <v>4288</v>
      </c>
      <c r="I543" s="188">
        <v>45016.0</v>
      </c>
      <c r="J543" s="188">
        <v>45016.0</v>
      </c>
      <c r="K543" s="189">
        <v>851.0</v>
      </c>
      <c r="L543" s="206"/>
      <c r="M543" s="186" t="s">
        <v>2893</v>
      </c>
      <c r="N543" s="42"/>
      <c r="O543" s="169"/>
      <c r="P543" s="169"/>
      <c r="Q543" s="169"/>
      <c r="R543" s="169"/>
      <c r="S543" s="169"/>
      <c r="T543" s="169"/>
      <c r="U543" s="169"/>
      <c r="V543" s="169"/>
      <c r="W543" s="169"/>
      <c r="X543" s="169"/>
      <c r="Y543" s="169"/>
      <c r="Z543" s="169"/>
      <c r="AA543" s="169"/>
      <c r="AB543" s="169"/>
      <c r="AC543" s="169"/>
      <c r="AD543" s="169"/>
      <c r="AE543" s="169"/>
      <c r="AF543" s="169"/>
      <c r="AG543" s="169"/>
      <c r="AH543" s="169"/>
    </row>
    <row r="544" ht="15.75" customHeight="1">
      <c r="A544" s="169"/>
      <c r="B544" s="38" t="s">
        <v>1031</v>
      </c>
      <c r="C544" s="191" t="s">
        <v>3478</v>
      </c>
      <c r="D544" s="40" t="s">
        <v>3269</v>
      </c>
      <c r="E544" s="40"/>
      <c r="F544" s="40"/>
      <c r="G544" s="39"/>
      <c r="H544" s="42" t="s">
        <v>4289</v>
      </c>
      <c r="I544" s="188">
        <v>45016.0</v>
      </c>
      <c r="J544" s="188">
        <v>45016.0</v>
      </c>
      <c r="K544" s="189">
        <v>1236.0</v>
      </c>
      <c r="L544" s="206"/>
      <c r="M544" s="186" t="s">
        <v>2893</v>
      </c>
      <c r="N544" s="42"/>
      <c r="O544" s="169"/>
      <c r="P544" s="169"/>
      <c r="Q544" s="169"/>
      <c r="R544" s="169"/>
      <c r="S544" s="169"/>
      <c r="T544" s="169"/>
      <c r="U544" s="169"/>
      <c r="V544" s="169"/>
      <c r="W544" s="169"/>
      <c r="X544" s="169"/>
      <c r="Y544" s="169"/>
      <c r="Z544" s="169"/>
      <c r="AA544" s="169"/>
      <c r="AB544" s="169"/>
      <c r="AC544" s="169"/>
      <c r="AD544" s="169"/>
      <c r="AE544" s="169"/>
      <c r="AF544" s="169"/>
      <c r="AG544" s="169"/>
      <c r="AH544" s="169"/>
    </row>
    <row r="545" ht="15.75" customHeight="1">
      <c r="A545" s="169"/>
      <c r="B545" s="38" t="s">
        <v>76</v>
      </c>
      <c r="C545" s="191" t="s">
        <v>4290</v>
      </c>
      <c r="D545" s="40" t="s">
        <v>4291</v>
      </c>
      <c r="E545" s="40"/>
      <c r="F545" s="40"/>
      <c r="G545" s="39"/>
      <c r="H545" s="42" t="s">
        <v>4292</v>
      </c>
      <c r="I545" s="188">
        <v>45016.0</v>
      </c>
      <c r="J545" s="188">
        <v>45016.0</v>
      </c>
      <c r="K545" s="189">
        <v>689.0</v>
      </c>
      <c r="L545" s="206"/>
      <c r="M545" s="191" t="s">
        <v>2435</v>
      </c>
      <c r="N545" s="42" t="s">
        <v>2437</v>
      </c>
      <c r="O545" s="169"/>
      <c r="P545" s="169"/>
      <c r="Q545" s="169"/>
      <c r="R545" s="169"/>
      <c r="S545" s="169"/>
      <c r="T545" s="169"/>
      <c r="U545" s="169"/>
      <c r="V545" s="169"/>
      <c r="W545" s="169"/>
      <c r="X545" s="169"/>
      <c r="Y545" s="169"/>
      <c r="Z545" s="169"/>
      <c r="AA545" s="169"/>
      <c r="AB545" s="169"/>
      <c r="AC545" s="169"/>
      <c r="AD545" s="169"/>
      <c r="AE545" s="169"/>
      <c r="AF545" s="169"/>
      <c r="AG545" s="169"/>
      <c r="AH545" s="169"/>
    </row>
    <row r="546" ht="15.75" customHeight="1">
      <c r="A546" s="169"/>
      <c r="B546" s="38" t="s">
        <v>76</v>
      </c>
      <c r="C546" s="191" t="s">
        <v>4293</v>
      </c>
      <c r="D546" s="160" t="s">
        <v>4294</v>
      </c>
      <c r="E546" s="40"/>
      <c r="F546" s="40"/>
      <c r="G546" s="39"/>
      <c r="H546" s="159" t="s">
        <v>4295</v>
      </c>
      <c r="I546" s="188">
        <v>45016.0</v>
      </c>
      <c r="J546" s="188">
        <v>45016.0</v>
      </c>
      <c r="K546" s="189">
        <v>112.0</v>
      </c>
      <c r="L546" s="206"/>
      <c r="M546" s="191" t="s">
        <v>2893</v>
      </c>
      <c r="N546" s="42"/>
      <c r="O546" s="169"/>
      <c r="P546" s="169"/>
      <c r="Q546" s="169"/>
      <c r="R546" s="169"/>
      <c r="S546" s="169"/>
      <c r="T546" s="169"/>
      <c r="U546" s="169"/>
      <c r="V546" s="169"/>
      <c r="W546" s="169"/>
      <c r="X546" s="169"/>
      <c r="Y546" s="169"/>
      <c r="Z546" s="169"/>
      <c r="AA546" s="169"/>
      <c r="AB546" s="169"/>
      <c r="AC546" s="169"/>
      <c r="AD546" s="169"/>
      <c r="AE546" s="169"/>
      <c r="AF546" s="169"/>
      <c r="AG546" s="169"/>
      <c r="AH546" s="169"/>
    </row>
    <row r="547" ht="15.75" customHeight="1">
      <c r="A547" s="169"/>
      <c r="B547" s="38" t="s">
        <v>76</v>
      </c>
      <c r="C547" s="191" t="s">
        <v>4079</v>
      </c>
      <c r="D547" s="40" t="s">
        <v>4296</v>
      </c>
      <c r="E547" s="40"/>
      <c r="F547" s="40"/>
      <c r="G547" s="39"/>
      <c r="H547" s="48" t="s">
        <v>4080</v>
      </c>
      <c r="I547" s="188">
        <v>45016.0</v>
      </c>
      <c r="J547" s="188">
        <v>45016.0</v>
      </c>
      <c r="K547" s="189">
        <v>130.0</v>
      </c>
      <c r="L547" s="206"/>
      <c r="M547" s="191" t="s">
        <v>2893</v>
      </c>
      <c r="N547" s="42"/>
      <c r="O547" s="169"/>
      <c r="P547" s="169"/>
      <c r="Q547" s="169"/>
      <c r="R547" s="169"/>
      <c r="S547" s="169"/>
      <c r="T547" s="169"/>
      <c r="U547" s="169"/>
      <c r="V547" s="169"/>
      <c r="W547" s="169"/>
      <c r="X547" s="169"/>
      <c r="Y547" s="169"/>
      <c r="Z547" s="169"/>
      <c r="AA547" s="169"/>
      <c r="AB547" s="169"/>
      <c r="AC547" s="169"/>
      <c r="AD547" s="169"/>
      <c r="AE547" s="169"/>
      <c r="AF547" s="169"/>
      <c r="AG547" s="169"/>
      <c r="AH547" s="169"/>
    </row>
    <row r="548" ht="15.75" customHeight="1">
      <c r="A548" s="169"/>
      <c r="B548" s="38" t="s">
        <v>76</v>
      </c>
      <c r="C548" s="191" t="s">
        <v>3052</v>
      </c>
      <c r="D548" s="40" t="s">
        <v>3050</v>
      </c>
      <c r="E548" s="40"/>
      <c r="F548" s="40"/>
      <c r="G548" s="39"/>
      <c r="H548" s="48" t="s">
        <v>3053</v>
      </c>
      <c r="I548" s="188">
        <v>45016.0</v>
      </c>
      <c r="J548" s="188">
        <v>45016.0</v>
      </c>
      <c r="K548" s="189">
        <v>143.0</v>
      </c>
      <c r="L548" s="206"/>
      <c r="M548" s="191" t="s">
        <v>2893</v>
      </c>
      <c r="N548" s="42"/>
      <c r="O548" s="169"/>
      <c r="P548" s="169"/>
      <c r="Q548" s="169"/>
      <c r="R548" s="169"/>
      <c r="S548" s="169"/>
      <c r="T548" s="169"/>
      <c r="U548" s="169"/>
      <c r="V548" s="169"/>
      <c r="W548" s="169"/>
      <c r="X548" s="169"/>
      <c r="Y548" s="169"/>
      <c r="Z548" s="169"/>
      <c r="AA548" s="169"/>
      <c r="AB548" s="169"/>
      <c r="AC548" s="169"/>
      <c r="AD548" s="169"/>
      <c r="AE548" s="169"/>
      <c r="AF548" s="169"/>
      <c r="AG548" s="169"/>
      <c r="AH548" s="169"/>
    </row>
    <row r="549" ht="15.75" customHeight="1">
      <c r="A549" s="169"/>
      <c r="B549" s="38" t="s">
        <v>76</v>
      </c>
      <c r="C549" s="191" t="s">
        <v>4089</v>
      </c>
      <c r="D549" s="40" t="s">
        <v>4297</v>
      </c>
      <c r="E549" s="40"/>
      <c r="F549" s="40"/>
      <c r="G549" s="39"/>
      <c r="H549" s="48" t="s">
        <v>4090</v>
      </c>
      <c r="I549" s="188">
        <v>45016.0</v>
      </c>
      <c r="J549" s="188">
        <v>45016.0</v>
      </c>
      <c r="K549" s="189">
        <v>195.0</v>
      </c>
      <c r="L549" s="206"/>
      <c r="M549" s="191" t="s">
        <v>2893</v>
      </c>
      <c r="N549" s="42"/>
      <c r="O549" s="169"/>
      <c r="P549" s="169"/>
      <c r="Q549" s="169"/>
      <c r="R549" s="169"/>
      <c r="S549" s="169"/>
      <c r="T549" s="169"/>
      <c r="U549" s="169"/>
      <c r="V549" s="169"/>
      <c r="W549" s="169"/>
      <c r="X549" s="169"/>
      <c r="Y549" s="169"/>
      <c r="Z549" s="169"/>
      <c r="AA549" s="169"/>
      <c r="AB549" s="169"/>
      <c r="AC549" s="169"/>
      <c r="AD549" s="169"/>
      <c r="AE549" s="169"/>
      <c r="AF549" s="169"/>
      <c r="AG549" s="169"/>
      <c r="AH549" s="169"/>
    </row>
    <row r="550" ht="15.75" customHeight="1">
      <c r="A550" s="169"/>
      <c r="B550" s="38" t="s">
        <v>76</v>
      </c>
      <c r="C550" s="191" t="s">
        <v>3074</v>
      </c>
      <c r="D550" s="40" t="s">
        <v>3072</v>
      </c>
      <c r="E550" s="40"/>
      <c r="F550" s="40"/>
      <c r="G550" s="39"/>
      <c r="H550" s="48" t="s">
        <v>3075</v>
      </c>
      <c r="I550" s="188">
        <v>45016.0</v>
      </c>
      <c r="J550" s="188">
        <v>45016.0</v>
      </c>
      <c r="K550" s="189">
        <v>214.0</v>
      </c>
      <c r="L550" s="206"/>
      <c r="M550" s="191" t="s">
        <v>2893</v>
      </c>
      <c r="N550" s="42"/>
      <c r="O550" s="169"/>
      <c r="P550" s="169"/>
      <c r="Q550" s="169"/>
      <c r="R550" s="169"/>
      <c r="S550" s="169"/>
      <c r="T550" s="169"/>
      <c r="U550" s="169"/>
      <c r="V550" s="169"/>
      <c r="W550" s="169"/>
      <c r="X550" s="169"/>
      <c r="Y550" s="169"/>
      <c r="Z550" s="169"/>
      <c r="AA550" s="169"/>
      <c r="AB550" s="169"/>
      <c r="AC550" s="169"/>
      <c r="AD550" s="169"/>
      <c r="AE550" s="169"/>
      <c r="AF550" s="169"/>
      <c r="AG550" s="169"/>
      <c r="AH550" s="169"/>
    </row>
    <row r="551" ht="15.75" customHeight="1">
      <c r="A551" s="169"/>
      <c r="B551" s="38" t="s">
        <v>76</v>
      </c>
      <c r="C551" s="191" t="s">
        <v>4298</v>
      </c>
      <c r="D551" s="40" t="s">
        <v>4299</v>
      </c>
      <c r="E551" s="40"/>
      <c r="F551" s="40"/>
      <c r="G551" s="39"/>
      <c r="H551" s="48" t="s">
        <v>3087</v>
      </c>
      <c r="I551" s="188">
        <v>45016.0</v>
      </c>
      <c r="J551" s="188">
        <v>45016.0</v>
      </c>
      <c r="K551" s="122">
        <v>456.0</v>
      </c>
      <c r="L551" s="206"/>
      <c r="M551" s="191" t="s">
        <v>2893</v>
      </c>
      <c r="N551" s="42"/>
      <c r="O551" s="169"/>
      <c r="P551" s="169"/>
      <c r="Q551" s="169"/>
      <c r="R551" s="169"/>
      <c r="S551" s="169"/>
      <c r="T551" s="169"/>
      <c r="U551" s="169"/>
      <c r="V551" s="169"/>
      <c r="W551" s="169"/>
      <c r="X551" s="169"/>
      <c r="Y551" s="169"/>
      <c r="Z551" s="169"/>
      <c r="AA551" s="169"/>
      <c r="AB551" s="169"/>
      <c r="AC551" s="169"/>
      <c r="AD551" s="169"/>
      <c r="AE551" s="169"/>
      <c r="AF551" s="169"/>
      <c r="AG551" s="169"/>
      <c r="AH551" s="169"/>
    </row>
    <row r="552" ht="15.75" customHeight="1">
      <c r="A552" s="169"/>
      <c r="B552" s="38" t="s">
        <v>76</v>
      </c>
      <c r="C552" s="191" t="s">
        <v>4300</v>
      </c>
      <c r="D552" s="40" t="s">
        <v>4301</v>
      </c>
      <c r="E552" s="40"/>
      <c r="F552" s="40"/>
      <c r="G552" s="39"/>
      <c r="H552" s="42" t="s">
        <v>4302</v>
      </c>
      <c r="I552" s="188">
        <v>45016.0</v>
      </c>
      <c r="J552" s="188">
        <v>45016.0</v>
      </c>
      <c r="K552" s="189">
        <v>130.0</v>
      </c>
      <c r="L552" s="206"/>
      <c r="M552" s="191" t="s">
        <v>2893</v>
      </c>
      <c r="N552" s="42"/>
      <c r="O552" s="169"/>
      <c r="P552" s="169"/>
      <c r="Q552" s="169"/>
      <c r="R552" s="169"/>
      <c r="S552" s="169"/>
      <c r="T552" s="169"/>
      <c r="U552" s="169"/>
      <c r="V552" s="169"/>
      <c r="W552" s="169"/>
      <c r="X552" s="169"/>
      <c r="Y552" s="169"/>
      <c r="Z552" s="169"/>
      <c r="AA552" s="169"/>
      <c r="AB552" s="169"/>
      <c r="AC552" s="169"/>
      <c r="AD552" s="169"/>
      <c r="AE552" s="169"/>
      <c r="AF552" s="169"/>
      <c r="AG552" s="169"/>
      <c r="AH552" s="169"/>
    </row>
    <row r="553" ht="15.75" customHeight="1">
      <c r="A553" s="169"/>
      <c r="B553" s="38" t="s">
        <v>76</v>
      </c>
      <c r="C553" s="191" t="s">
        <v>4303</v>
      </c>
      <c r="D553" s="40" t="s">
        <v>3055</v>
      </c>
      <c r="E553" s="40"/>
      <c r="F553" s="40"/>
      <c r="G553" s="39"/>
      <c r="H553" s="42" t="s">
        <v>3058</v>
      </c>
      <c r="I553" s="188">
        <v>45016.0</v>
      </c>
      <c r="J553" s="188">
        <v>45016.0</v>
      </c>
      <c r="K553" s="189">
        <v>140.0</v>
      </c>
      <c r="L553" s="206"/>
      <c r="M553" s="191" t="s">
        <v>4304</v>
      </c>
      <c r="N553" s="42" t="s">
        <v>4305</v>
      </c>
      <c r="O553" s="169"/>
      <c r="P553" s="169"/>
      <c r="Q553" s="169"/>
      <c r="R553" s="169"/>
      <c r="S553" s="169"/>
      <c r="T553" s="169"/>
      <c r="U553" s="169"/>
      <c r="V553" s="169"/>
      <c r="W553" s="169"/>
      <c r="X553" s="169"/>
      <c r="Y553" s="169"/>
      <c r="Z553" s="169"/>
      <c r="AA553" s="169"/>
      <c r="AB553" s="169"/>
      <c r="AC553" s="169"/>
      <c r="AD553" s="169"/>
      <c r="AE553" s="169"/>
      <c r="AF553" s="169"/>
      <c r="AG553" s="169"/>
      <c r="AH553" s="169"/>
    </row>
    <row r="554" ht="15.75" customHeight="1">
      <c r="A554" s="169"/>
      <c r="B554" s="38" t="s">
        <v>76</v>
      </c>
      <c r="C554" s="191" t="s">
        <v>4306</v>
      </c>
      <c r="D554" s="40" t="s">
        <v>3065</v>
      </c>
      <c r="E554" s="40"/>
      <c r="F554" s="40"/>
      <c r="G554" s="39"/>
      <c r="H554" s="42" t="s">
        <v>3068</v>
      </c>
      <c r="I554" s="188">
        <v>45016.0</v>
      </c>
      <c r="J554" s="188">
        <v>45016.0</v>
      </c>
      <c r="K554" s="189">
        <v>175.0</v>
      </c>
      <c r="L554" s="206"/>
      <c r="M554" s="191" t="s">
        <v>4307</v>
      </c>
      <c r="N554" s="42" t="s">
        <v>4308</v>
      </c>
      <c r="O554" s="169"/>
      <c r="P554" s="169"/>
      <c r="Q554" s="169"/>
      <c r="R554" s="169"/>
      <c r="S554" s="169"/>
      <c r="T554" s="169"/>
      <c r="U554" s="169"/>
      <c r="V554" s="169"/>
      <c r="W554" s="169"/>
      <c r="X554" s="169"/>
      <c r="Y554" s="169"/>
      <c r="Z554" s="169"/>
      <c r="AA554" s="169"/>
      <c r="AB554" s="169"/>
      <c r="AC554" s="169"/>
      <c r="AD554" s="169"/>
      <c r="AE554" s="169"/>
      <c r="AF554" s="169"/>
      <c r="AG554" s="169"/>
      <c r="AH554" s="169"/>
    </row>
    <row r="555" ht="15.75" customHeight="1">
      <c r="A555" s="169"/>
      <c r="B555" s="38" t="s">
        <v>76</v>
      </c>
      <c r="C555" s="191" t="s">
        <v>4309</v>
      </c>
      <c r="D555" s="40" t="s">
        <v>3077</v>
      </c>
      <c r="E555" s="40"/>
      <c r="F555" s="40"/>
      <c r="G555" s="39"/>
      <c r="H555" s="42" t="s">
        <v>3080</v>
      </c>
      <c r="I555" s="188">
        <v>45016.0</v>
      </c>
      <c r="J555" s="188">
        <v>45016.0</v>
      </c>
      <c r="K555" s="189">
        <v>231.0</v>
      </c>
      <c r="L555" s="206"/>
      <c r="M555" s="191" t="s">
        <v>101</v>
      </c>
      <c r="N555" s="42" t="s">
        <v>103</v>
      </c>
      <c r="O555" s="169"/>
      <c r="P555" s="169"/>
      <c r="Q555" s="169"/>
      <c r="R555" s="169"/>
      <c r="S555" s="169"/>
      <c r="T555" s="169"/>
      <c r="U555" s="169"/>
      <c r="V555" s="169"/>
      <c r="W555" s="169"/>
      <c r="X555" s="169"/>
      <c r="Y555" s="169"/>
      <c r="Z555" s="169"/>
      <c r="AA555" s="169"/>
      <c r="AB555" s="169"/>
      <c r="AC555" s="169"/>
      <c r="AD555" s="169"/>
      <c r="AE555" s="169"/>
      <c r="AF555" s="169"/>
      <c r="AG555" s="169"/>
      <c r="AH555" s="169"/>
    </row>
    <row r="556" ht="15.75" customHeight="1">
      <c r="A556" s="169"/>
      <c r="B556" s="38" t="s">
        <v>76</v>
      </c>
      <c r="C556" s="191" t="s">
        <v>4310</v>
      </c>
      <c r="D556" s="40" t="s">
        <v>4311</v>
      </c>
      <c r="E556" s="40"/>
      <c r="F556" s="40"/>
      <c r="G556" s="39"/>
      <c r="H556" s="42" t="s">
        <v>4312</v>
      </c>
      <c r="I556" s="188">
        <v>45016.0</v>
      </c>
      <c r="J556" s="188">
        <v>45016.0</v>
      </c>
      <c r="K556" s="189">
        <v>487.0</v>
      </c>
      <c r="L556" s="206"/>
      <c r="M556" s="191" t="s">
        <v>4313</v>
      </c>
      <c r="N556" s="42" t="s">
        <v>4314</v>
      </c>
      <c r="O556" s="169"/>
      <c r="P556" s="169"/>
      <c r="Q556" s="169"/>
      <c r="R556" s="169"/>
      <c r="S556" s="169"/>
      <c r="T556" s="169"/>
      <c r="U556" s="169"/>
      <c r="V556" s="169"/>
      <c r="W556" s="169"/>
      <c r="X556" s="169"/>
      <c r="Y556" s="169"/>
      <c r="Z556" s="169"/>
      <c r="AA556" s="169"/>
      <c r="AB556" s="169"/>
      <c r="AC556" s="169"/>
      <c r="AD556" s="169"/>
      <c r="AE556" s="169"/>
      <c r="AF556" s="169"/>
      <c r="AG556" s="169"/>
      <c r="AH556" s="169"/>
    </row>
    <row r="557" ht="15.75" customHeight="1">
      <c r="A557" s="169"/>
      <c r="B557" s="38" t="s">
        <v>76</v>
      </c>
      <c r="C557" s="191" t="s">
        <v>4315</v>
      </c>
      <c r="D557" s="40" t="s">
        <v>4316</v>
      </c>
      <c r="E557" s="40"/>
      <c r="F557" s="40"/>
      <c r="G557" s="39"/>
      <c r="H557" s="42" t="s">
        <v>4317</v>
      </c>
      <c r="I557" s="188">
        <v>45016.0</v>
      </c>
      <c r="J557" s="188">
        <v>45016.0</v>
      </c>
      <c r="K557" s="189">
        <v>567.0</v>
      </c>
      <c r="L557" s="206"/>
      <c r="M557" s="191" t="s">
        <v>4318</v>
      </c>
      <c r="N557" s="42" t="s">
        <v>4319</v>
      </c>
      <c r="O557" s="169"/>
      <c r="P557" s="169"/>
      <c r="Q557" s="169"/>
      <c r="R557" s="169"/>
      <c r="S557" s="169"/>
      <c r="T557" s="169"/>
      <c r="U557" s="169"/>
      <c r="V557" s="169"/>
      <c r="W557" s="169"/>
      <c r="X557" s="169"/>
      <c r="Y557" s="169"/>
      <c r="Z557" s="169"/>
      <c r="AA557" s="169"/>
      <c r="AB557" s="169"/>
      <c r="AC557" s="169"/>
      <c r="AD557" s="169"/>
      <c r="AE557" s="169"/>
      <c r="AF557" s="169"/>
      <c r="AG557" s="169"/>
      <c r="AH557" s="169"/>
    </row>
    <row r="558" ht="15.75" customHeight="1">
      <c r="A558" s="169"/>
      <c r="B558" s="38" t="s">
        <v>2020</v>
      </c>
      <c r="C558" s="191" t="s">
        <v>4103</v>
      </c>
      <c r="D558" s="40" t="s">
        <v>4320</v>
      </c>
      <c r="E558" s="40"/>
      <c r="F558" s="40"/>
      <c r="G558" s="39"/>
      <c r="H558" s="42" t="s">
        <v>4104</v>
      </c>
      <c r="I558" s="188">
        <v>45046.0</v>
      </c>
      <c r="J558" s="188">
        <v>45046.0</v>
      </c>
      <c r="K558" s="189">
        <v>515.0</v>
      </c>
      <c r="L558" s="169"/>
      <c r="M558" s="192" t="s">
        <v>4321</v>
      </c>
      <c r="N558" s="42" t="s">
        <v>4322</v>
      </c>
      <c r="O558" s="169"/>
      <c r="P558" s="169"/>
      <c r="Q558" s="169"/>
      <c r="R558" s="169"/>
      <c r="S558" s="169"/>
      <c r="T558" s="169"/>
      <c r="U558" s="169"/>
      <c r="V558" s="169"/>
      <c r="W558" s="169"/>
      <c r="X558" s="169"/>
      <c r="Y558" s="169"/>
      <c r="Z558" s="169"/>
      <c r="AA558" s="169"/>
      <c r="AB558" s="169"/>
      <c r="AC558" s="169"/>
      <c r="AD558" s="169"/>
      <c r="AE558" s="169"/>
      <c r="AF558" s="169"/>
      <c r="AG558" s="169"/>
      <c r="AH558" s="169"/>
    </row>
    <row r="559" ht="15.75" customHeight="1">
      <c r="A559" s="169"/>
      <c r="B559" s="38" t="s">
        <v>23</v>
      </c>
      <c r="C559" s="191" t="s">
        <v>3580</v>
      </c>
      <c r="D559" s="40" t="s">
        <v>1692</v>
      </c>
      <c r="E559" s="40"/>
      <c r="F559" s="40"/>
      <c r="G559" s="39"/>
      <c r="H559" s="42" t="s">
        <v>3581</v>
      </c>
      <c r="I559" s="188">
        <v>45046.0</v>
      </c>
      <c r="J559" s="188">
        <v>45077.0</v>
      </c>
      <c r="K559" s="189">
        <v>44.0</v>
      </c>
      <c r="L559" s="169"/>
      <c r="M559" s="192" t="s">
        <v>1694</v>
      </c>
      <c r="N559" s="42" t="s">
        <v>1695</v>
      </c>
      <c r="O559" s="169"/>
      <c r="P559" s="169"/>
      <c r="Q559" s="169"/>
      <c r="R559" s="169"/>
      <c r="S559" s="169"/>
      <c r="T559" s="169"/>
      <c r="U559" s="169"/>
      <c r="V559" s="169"/>
      <c r="W559" s="169"/>
      <c r="X559" s="169"/>
      <c r="Y559" s="169"/>
      <c r="Z559" s="169"/>
      <c r="AA559" s="169"/>
      <c r="AB559" s="169"/>
      <c r="AC559" s="169"/>
      <c r="AD559" s="169"/>
      <c r="AE559" s="169"/>
      <c r="AF559" s="169"/>
      <c r="AG559" s="169"/>
      <c r="AH559" s="169"/>
    </row>
    <row r="560" ht="15.75" customHeight="1">
      <c r="A560" s="169"/>
      <c r="B560" s="38" t="s">
        <v>23</v>
      </c>
      <c r="C560" s="191" t="s">
        <v>4323</v>
      </c>
      <c r="D560" s="40" t="s">
        <v>1609</v>
      </c>
      <c r="E560" s="40"/>
      <c r="F560" s="40"/>
      <c r="G560" s="39"/>
      <c r="H560" s="42" t="s">
        <v>4324</v>
      </c>
      <c r="I560" s="188">
        <v>45046.0</v>
      </c>
      <c r="J560" s="188">
        <v>45077.0</v>
      </c>
      <c r="K560" s="189">
        <v>183.0</v>
      </c>
      <c r="L560" s="169"/>
      <c r="M560" s="192" t="s">
        <v>1659</v>
      </c>
      <c r="N560" s="42" t="s">
        <v>1660</v>
      </c>
      <c r="O560" s="169"/>
      <c r="P560" s="169"/>
      <c r="Q560" s="169"/>
      <c r="R560" s="169"/>
      <c r="S560" s="169"/>
      <c r="T560" s="169"/>
      <c r="U560" s="169"/>
      <c r="V560" s="169"/>
      <c r="W560" s="169"/>
      <c r="X560" s="169"/>
      <c r="Y560" s="169"/>
      <c r="Z560" s="169"/>
      <c r="AA560" s="169"/>
      <c r="AB560" s="169"/>
      <c r="AC560" s="169"/>
      <c r="AD560" s="169"/>
      <c r="AE560" s="169"/>
      <c r="AF560" s="169"/>
      <c r="AG560" s="169"/>
      <c r="AH560" s="169"/>
    </row>
    <row r="561" ht="15.75" customHeight="1">
      <c r="A561" s="169"/>
      <c r="B561" s="116" t="s">
        <v>2311</v>
      </c>
      <c r="C561" s="186" t="s">
        <v>4325</v>
      </c>
      <c r="D561" s="117" t="s">
        <v>4326</v>
      </c>
      <c r="E561" s="40"/>
      <c r="F561" s="40"/>
      <c r="G561" s="39"/>
      <c r="H561" s="119" t="s">
        <v>4327</v>
      </c>
      <c r="I561" s="188">
        <v>45169.0</v>
      </c>
      <c r="J561" s="188">
        <v>45169.0</v>
      </c>
      <c r="K561" s="189">
        <v>2306.0</v>
      </c>
      <c r="L561" s="206"/>
      <c r="M561" s="191" t="s">
        <v>4328</v>
      </c>
      <c r="N561" s="119" t="s">
        <v>4329</v>
      </c>
      <c r="O561" s="169"/>
      <c r="P561" s="169"/>
      <c r="Q561" s="169"/>
      <c r="R561" s="169"/>
      <c r="S561" s="169"/>
      <c r="T561" s="169"/>
      <c r="U561" s="169"/>
      <c r="V561" s="169"/>
      <c r="W561" s="169"/>
      <c r="X561" s="169"/>
      <c r="Y561" s="169"/>
      <c r="Z561" s="169"/>
      <c r="AA561" s="169"/>
      <c r="AB561" s="169"/>
      <c r="AC561" s="169"/>
      <c r="AD561" s="169"/>
      <c r="AE561" s="169"/>
      <c r="AF561" s="169"/>
      <c r="AG561" s="169"/>
      <c r="AH561" s="169"/>
    </row>
    <row r="562" ht="15.75" customHeight="1">
      <c r="A562" s="169"/>
      <c r="B562" s="38" t="s">
        <v>2311</v>
      </c>
      <c r="C562" s="191" t="s">
        <v>3867</v>
      </c>
      <c r="D562" s="39" t="s">
        <v>4330</v>
      </c>
      <c r="E562" s="40"/>
      <c r="F562" s="40"/>
      <c r="G562" s="39"/>
      <c r="H562" s="42" t="s">
        <v>4331</v>
      </c>
      <c r="I562" s="188">
        <v>45169.0</v>
      </c>
      <c r="J562" s="188">
        <v>45169.0</v>
      </c>
      <c r="K562" s="189">
        <v>1456.0</v>
      </c>
      <c r="L562" s="206"/>
      <c r="M562" s="191" t="s">
        <v>2893</v>
      </c>
      <c r="N562" s="42"/>
      <c r="O562" s="169"/>
      <c r="P562" s="169"/>
      <c r="Q562" s="169"/>
      <c r="R562" s="169"/>
      <c r="S562" s="169"/>
      <c r="T562" s="169"/>
      <c r="U562" s="169"/>
      <c r="V562" s="169"/>
      <c r="W562" s="169"/>
      <c r="X562" s="169"/>
      <c r="Y562" s="169"/>
      <c r="Z562" s="169"/>
      <c r="AA562" s="169"/>
      <c r="AB562" s="169"/>
      <c r="AC562" s="169"/>
      <c r="AD562" s="169"/>
      <c r="AE562" s="169"/>
      <c r="AF562" s="169"/>
      <c r="AG562" s="169"/>
      <c r="AH562" s="169"/>
    </row>
    <row r="563" ht="15.75" customHeight="1">
      <c r="A563" s="169"/>
      <c r="B563" s="38" t="s">
        <v>2311</v>
      </c>
      <c r="C563" s="191" t="s">
        <v>4332</v>
      </c>
      <c r="D563" s="39" t="s">
        <v>4333</v>
      </c>
      <c r="E563" s="40"/>
      <c r="F563" s="40"/>
      <c r="G563" s="39"/>
      <c r="H563" s="42" t="s">
        <v>4334</v>
      </c>
      <c r="I563" s="188">
        <v>45169.0</v>
      </c>
      <c r="J563" s="188">
        <v>45169.0</v>
      </c>
      <c r="K563" s="189">
        <v>1774.0</v>
      </c>
      <c r="L563" s="206"/>
      <c r="M563" s="191" t="s">
        <v>2893</v>
      </c>
      <c r="N563" s="42"/>
      <c r="O563" s="169"/>
      <c r="P563" s="169"/>
      <c r="Q563" s="169"/>
      <c r="R563" s="169"/>
      <c r="S563" s="169"/>
      <c r="T563" s="169"/>
      <c r="U563" s="169"/>
      <c r="V563" s="169"/>
      <c r="W563" s="169"/>
      <c r="X563" s="169"/>
      <c r="Y563" s="169"/>
      <c r="Z563" s="169"/>
      <c r="AA563" s="169"/>
      <c r="AB563" s="169"/>
      <c r="AC563" s="169"/>
      <c r="AD563" s="169"/>
      <c r="AE563" s="169"/>
      <c r="AF563" s="169"/>
      <c r="AG563" s="169"/>
      <c r="AH563" s="169"/>
    </row>
    <row r="564" ht="15.75" customHeight="1">
      <c r="A564" s="169"/>
      <c r="B564" s="38" t="s">
        <v>2311</v>
      </c>
      <c r="C564" s="191" t="s">
        <v>4335</v>
      </c>
      <c r="D564" s="39" t="s">
        <v>4336</v>
      </c>
      <c r="E564" s="40"/>
      <c r="F564" s="40"/>
      <c r="G564" s="39"/>
      <c r="H564" s="42" t="s">
        <v>4337</v>
      </c>
      <c r="I564" s="188">
        <v>45169.0</v>
      </c>
      <c r="J564" s="188">
        <v>45169.0</v>
      </c>
      <c r="K564" s="189">
        <v>1630.0</v>
      </c>
      <c r="L564" s="206"/>
      <c r="M564" s="191" t="s">
        <v>4338</v>
      </c>
      <c r="N564" s="119" t="s">
        <v>4339</v>
      </c>
      <c r="O564" s="169"/>
      <c r="P564" s="169"/>
      <c r="Q564" s="169"/>
      <c r="R564" s="169"/>
      <c r="S564" s="169"/>
      <c r="T564" s="169"/>
      <c r="U564" s="169"/>
      <c r="V564" s="169"/>
      <c r="W564" s="169"/>
      <c r="X564" s="169"/>
      <c r="Y564" s="169"/>
      <c r="Z564" s="169"/>
      <c r="AA564" s="169"/>
      <c r="AB564" s="169"/>
      <c r="AC564" s="169"/>
      <c r="AD564" s="169"/>
      <c r="AE564" s="169"/>
      <c r="AF564" s="169"/>
      <c r="AG564" s="169"/>
      <c r="AH564" s="169"/>
    </row>
    <row r="565" ht="15.75" customHeight="1">
      <c r="A565" s="169"/>
      <c r="B565" s="38" t="s">
        <v>2311</v>
      </c>
      <c r="C565" s="191" t="s">
        <v>4340</v>
      </c>
      <c r="D565" s="39" t="s">
        <v>4341</v>
      </c>
      <c r="E565" s="40"/>
      <c r="F565" s="40"/>
      <c r="G565" s="39"/>
      <c r="H565" s="42" t="s">
        <v>4342</v>
      </c>
      <c r="I565" s="188">
        <v>45169.0</v>
      </c>
      <c r="J565" s="188">
        <v>45169.0</v>
      </c>
      <c r="K565" s="189">
        <v>1751.0</v>
      </c>
      <c r="L565" s="206"/>
      <c r="M565" s="191" t="s">
        <v>4343</v>
      </c>
      <c r="N565" s="119" t="s">
        <v>4344</v>
      </c>
      <c r="O565" s="169"/>
      <c r="P565" s="169"/>
      <c r="Q565" s="169"/>
      <c r="R565" s="169"/>
      <c r="S565" s="169"/>
      <c r="T565" s="169"/>
      <c r="U565" s="169"/>
      <c r="V565" s="169"/>
      <c r="W565" s="169"/>
      <c r="X565" s="169"/>
      <c r="Y565" s="169"/>
      <c r="Z565" s="169"/>
      <c r="AA565" s="169"/>
      <c r="AB565" s="169"/>
      <c r="AC565" s="169"/>
      <c r="AD565" s="169"/>
      <c r="AE565" s="169"/>
      <c r="AF565" s="169"/>
      <c r="AG565" s="169"/>
      <c r="AH565" s="169"/>
    </row>
    <row r="566" ht="15.75" customHeight="1">
      <c r="A566" s="169"/>
      <c r="B566" s="38" t="s">
        <v>2311</v>
      </c>
      <c r="C566" s="197" t="s">
        <v>4345</v>
      </c>
      <c r="D566" s="39" t="s">
        <v>4341</v>
      </c>
      <c r="E566" s="40"/>
      <c r="F566" s="40"/>
      <c r="G566" s="39"/>
      <c r="H566" s="42" t="s">
        <v>4346</v>
      </c>
      <c r="I566" s="188">
        <v>45169.0</v>
      </c>
      <c r="J566" s="188">
        <v>45169.0</v>
      </c>
      <c r="K566" s="189">
        <v>2090.0</v>
      </c>
      <c r="L566" s="206"/>
      <c r="M566" s="191" t="s">
        <v>2893</v>
      </c>
      <c r="N566" s="42"/>
      <c r="O566" s="169"/>
      <c r="P566" s="169"/>
      <c r="Q566" s="169"/>
      <c r="R566" s="169"/>
      <c r="S566" s="169"/>
      <c r="T566" s="169"/>
      <c r="U566" s="169"/>
      <c r="V566" s="169"/>
      <c r="W566" s="169"/>
      <c r="X566" s="169"/>
      <c r="Y566" s="169"/>
      <c r="Z566" s="169"/>
      <c r="AA566" s="169"/>
      <c r="AB566" s="169"/>
      <c r="AC566" s="169"/>
      <c r="AD566" s="169"/>
      <c r="AE566" s="169"/>
      <c r="AF566" s="169"/>
      <c r="AG566" s="169"/>
      <c r="AH566" s="169"/>
    </row>
    <row r="567" ht="15.75" customHeight="1">
      <c r="A567" s="169"/>
      <c r="B567" s="38" t="s">
        <v>2311</v>
      </c>
      <c r="C567" s="197" t="s">
        <v>3925</v>
      </c>
      <c r="D567" s="39" t="s">
        <v>4336</v>
      </c>
      <c r="E567" s="40"/>
      <c r="F567" s="40"/>
      <c r="G567" s="39"/>
      <c r="H567" s="42" t="s">
        <v>4347</v>
      </c>
      <c r="I567" s="188">
        <v>45169.0</v>
      </c>
      <c r="J567" s="188">
        <v>45169.0</v>
      </c>
      <c r="K567" s="189">
        <v>1455.78</v>
      </c>
      <c r="L567" s="206"/>
      <c r="M567" s="191" t="s">
        <v>2893</v>
      </c>
      <c r="N567" s="42"/>
      <c r="O567" s="169"/>
      <c r="P567" s="169"/>
      <c r="Q567" s="169"/>
      <c r="R567" s="169"/>
      <c r="S567" s="169"/>
      <c r="T567" s="169"/>
      <c r="U567" s="169"/>
      <c r="V567" s="169"/>
      <c r="W567" s="169"/>
      <c r="X567" s="169"/>
      <c r="Y567" s="169"/>
      <c r="Z567" s="169"/>
      <c r="AA567" s="169"/>
      <c r="AB567" s="169"/>
      <c r="AC567" s="169"/>
      <c r="AD567" s="169"/>
      <c r="AE567" s="169"/>
      <c r="AF567" s="169"/>
      <c r="AG567" s="169"/>
      <c r="AH567" s="169"/>
    </row>
    <row r="568" ht="15.75" customHeight="1">
      <c r="A568" s="169"/>
      <c r="B568" s="38" t="s">
        <v>2119</v>
      </c>
      <c r="C568" s="197" t="s">
        <v>4348</v>
      </c>
      <c r="D568" s="39" t="s">
        <v>4349</v>
      </c>
      <c r="E568" s="40"/>
      <c r="F568" s="40"/>
      <c r="G568" s="39"/>
      <c r="H568" s="42" t="s">
        <v>4350</v>
      </c>
      <c r="I568" s="188">
        <v>45169.0</v>
      </c>
      <c r="J568" s="188">
        <v>45169.0</v>
      </c>
      <c r="K568" s="189">
        <v>864.0</v>
      </c>
      <c r="L568" s="206"/>
      <c r="M568" s="191" t="s">
        <v>4351</v>
      </c>
      <c r="N568" s="119" t="s">
        <v>4352</v>
      </c>
      <c r="O568" s="169"/>
      <c r="P568" s="169"/>
      <c r="Q568" s="169"/>
      <c r="R568" s="169"/>
      <c r="S568" s="169"/>
      <c r="T568" s="169"/>
      <c r="U568" s="169"/>
      <c r="V568" s="169"/>
      <c r="W568" s="169"/>
      <c r="X568" s="169"/>
      <c r="Y568" s="169"/>
      <c r="Z568" s="169"/>
      <c r="AA568" s="169"/>
      <c r="AB568" s="169"/>
      <c r="AC568" s="169"/>
      <c r="AD568" s="169"/>
      <c r="AE568" s="169"/>
      <c r="AF568" s="169"/>
      <c r="AG568" s="169"/>
      <c r="AH568" s="169"/>
    </row>
    <row r="569" ht="15.75" customHeight="1">
      <c r="A569" s="169"/>
      <c r="B569" s="38" t="s">
        <v>118</v>
      </c>
      <c r="C569" s="191" t="s">
        <v>616</v>
      </c>
      <c r="D569" s="40" t="s">
        <v>617</v>
      </c>
      <c r="E569" s="40" t="s">
        <v>16</v>
      </c>
      <c r="F569" s="40" t="s">
        <v>17</v>
      </c>
      <c r="G569" s="39" t="s">
        <v>529</v>
      </c>
      <c r="H569" s="48" t="s">
        <v>619</v>
      </c>
      <c r="I569" s="188">
        <v>45169.0</v>
      </c>
      <c r="J569" s="205">
        <f>I569+65</f>
        <v>45234</v>
      </c>
      <c r="K569" s="189">
        <v>1455.0</v>
      </c>
      <c r="L569" s="206"/>
      <c r="M569" s="191" t="s">
        <v>609</v>
      </c>
      <c r="N569" s="48" t="s">
        <v>611</v>
      </c>
      <c r="O569" s="169"/>
      <c r="P569" s="169"/>
      <c r="Q569" s="169"/>
      <c r="R569" s="169"/>
      <c r="S569" s="169"/>
      <c r="T569" s="169"/>
      <c r="U569" s="169"/>
      <c r="V569" s="169"/>
      <c r="W569" s="169"/>
      <c r="X569" s="169"/>
      <c r="Y569" s="169"/>
      <c r="Z569" s="169"/>
      <c r="AA569" s="169"/>
      <c r="AB569" s="169"/>
      <c r="AC569" s="169"/>
      <c r="AD569" s="169"/>
      <c r="AE569" s="169"/>
      <c r="AF569" s="169"/>
      <c r="AG569" s="169"/>
      <c r="AH569" s="169"/>
    </row>
    <row r="570" ht="15.75" customHeight="1">
      <c r="A570" s="169"/>
      <c r="B570" s="38" t="s">
        <v>76</v>
      </c>
      <c r="C570" s="191" t="s">
        <v>4353</v>
      </c>
      <c r="D570" s="40" t="s">
        <v>4354</v>
      </c>
      <c r="E570" s="40"/>
      <c r="F570" s="40"/>
      <c r="G570" s="39"/>
      <c r="H570" s="48" t="s">
        <v>4355</v>
      </c>
      <c r="I570" s="188">
        <v>45169.0</v>
      </c>
      <c r="J570" s="188">
        <v>45169.0</v>
      </c>
      <c r="K570" s="189">
        <v>132.0</v>
      </c>
      <c r="L570" s="206"/>
      <c r="M570" s="191" t="s">
        <v>83</v>
      </c>
      <c r="N570" s="48" t="s">
        <v>85</v>
      </c>
      <c r="O570" s="169"/>
      <c r="P570" s="169"/>
      <c r="Q570" s="169"/>
      <c r="R570" s="169"/>
      <c r="S570" s="169"/>
      <c r="T570" s="169"/>
      <c r="U570" s="169"/>
      <c r="V570" s="169"/>
      <c r="W570" s="169"/>
      <c r="X570" s="169"/>
      <c r="Y570" s="169"/>
      <c r="Z570" s="169"/>
      <c r="AA570" s="169"/>
      <c r="AB570" s="169"/>
      <c r="AC570" s="169"/>
      <c r="AD570" s="169"/>
      <c r="AE570" s="169"/>
      <c r="AF570" s="169"/>
      <c r="AG570" s="169"/>
      <c r="AH570" s="169"/>
    </row>
    <row r="571" ht="15.75" customHeight="1">
      <c r="A571" s="169"/>
      <c r="B571" s="38" t="s">
        <v>76</v>
      </c>
      <c r="C571" s="191" t="s">
        <v>4356</v>
      </c>
      <c r="D571" s="40" t="s">
        <v>4357</v>
      </c>
      <c r="E571" s="40"/>
      <c r="F571" s="40"/>
      <c r="G571" s="39"/>
      <c r="H571" s="48" t="s">
        <v>4358</v>
      </c>
      <c r="I571" s="188">
        <v>45169.0</v>
      </c>
      <c r="J571" s="188">
        <v>45169.0</v>
      </c>
      <c r="K571" s="189">
        <v>587.0</v>
      </c>
      <c r="L571" s="206"/>
      <c r="M571" s="191" t="s">
        <v>2432</v>
      </c>
      <c r="N571" s="48" t="s">
        <v>2434</v>
      </c>
      <c r="O571" s="169"/>
      <c r="P571" s="169"/>
      <c r="Q571" s="169"/>
      <c r="R571" s="169"/>
      <c r="S571" s="169"/>
      <c r="T571" s="169"/>
      <c r="U571" s="169"/>
      <c r="V571" s="169"/>
      <c r="W571" s="169"/>
      <c r="X571" s="169"/>
      <c r="Y571" s="169"/>
      <c r="Z571" s="169"/>
      <c r="AA571" s="169"/>
      <c r="AB571" s="169"/>
      <c r="AC571" s="169"/>
      <c r="AD571" s="169"/>
      <c r="AE571" s="169"/>
      <c r="AF571" s="169"/>
      <c r="AG571" s="169"/>
      <c r="AH571" s="169"/>
    </row>
    <row r="572" ht="15.75" customHeight="1">
      <c r="A572" s="169"/>
      <c r="B572" s="38" t="s">
        <v>2336</v>
      </c>
      <c r="C572" s="191" t="s">
        <v>4359</v>
      </c>
      <c r="D572" s="40" t="s">
        <v>4360</v>
      </c>
      <c r="E572" s="40"/>
      <c r="F572" s="40"/>
      <c r="G572" s="39"/>
      <c r="H572" s="48" t="s">
        <v>4361</v>
      </c>
      <c r="I572" s="188">
        <v>45169.0</v>
      </c>
      <c r="J572" s="188">
        <v>45169.0</v>
      </c>
      <c r="K572" s="189">
        <v>528.0</v>
      </c>
      <c r="L572" s="206"/>
      <c r="M572" s="191" t="s">
        <v>2893</v>
      </c>
      <c r="N572" s="48"/>
      <c r="O572" s="169"/>
      <c r="P572" s="169"/>
      <c r="Q572" s="169"/>
      <c r="R572" s="169"/>
      <c r="S572" s="169"/>
      <c r="T572" s="169"/>
      <c r="U572" s="169"/>
      <c r="V572" s="169"/>
      <c r="W572" s="169"/>
      <c r="X572" s="169"/>
      <c r="Y572" s="169"/>
      <c r="Z572" s="169"/>
      <c r="AA572" s="169"/>
      <c r="AB572" s="169"/>
      <c r="AC572" s="169"/>
      <c r="AD572" s="169"/>
      <c r="AE572" s="169"/>
      <c r="AF572" s="169"/>
      <c r="AG572" s="169"/>
      <c r="AH572" s="169"/>
    </row>
    <row r="573" ht="15.75" customHeight="1">
      <c r="A573" s="169"/>
      <c r="B573" s="38" t="s">
        <v>2119</v>
      </c>
      <c r="C573" s="191" t="s">
        <v>4362</v>
      </c>
      <c r="D573" s="40" t="s">
        <v>4363</v>
      </c>
      <c r="E573" s="40"/>
      <c r="F573" s="40"/>
      <c r="G573" s="39"/>
      <c r="H573" s="48" t="s">
        <v>4364</v>
      </c>
      <c r="I573" s="188">
        <v>45169.0</v>
      </c>
      <c r="J573" s="188">
        <v>45169.0</v>
      </c>
      <c r="K573" s="189">
        <v>1557.63</v>
      </c>
      <c r="L573" s="206"/>
      <c r="M573" s="191" t="s">
        <v>2893</v>
      </c>
      <c r="N573" s="48"/>
      <c r="O573" s="169"/>
      <c r="P573" s="169"/>
      <c r="Q573" s="169"/>
      <c r="R573" s="169"/>
      <c r="S573" s="169"/>
      <c r="T573" s="169"/>
      <c r="U573" s="169"/>
      <c r="V573" s="169"/>
      <c r="W573" s="169"/>
      <c r="X573" s="169"/>
      <c r="Y573" s="169"/>
      <c r="Z573" s="169"/>
      <c r="AA573" s="169"/>
      <c r="AB573" s="169"/>
      <c r="AC573" s="169"/>
      <c r="AD573" s="169"/>
      <c r="AE573" s="169"/>
      <c r="AF573" s="169"/>
      <c r="AG573" s="169"/>
      <c r="AH573" s="169"/>
    </row>
    <row r="574" ht="15.75" customHeight="1">
      <c r="A574" s="169"/>
      <c r="B574" s="38" t="s">
        <v>2119</v>
      </c>
      <c r="C574" s="191" t="s">
        <v>4365</v>
      </c>
      <c r="D574" s="40" t="s">
        <v>4366</v>
      </c>
      <c r="E574" s="40"/>
      <c r="F574" s="40"/>
      <c r="G574" s="39"/>
      <c r="H574" s="48" t="s">
        <v>4367</v>
      </c>
      <c r="I574" s="188">
        <v>45169.0</v>
      </c>
      <c r="J574" s="188">
        <v>45169.0</v>
      </c>
      <c r="K574" s="189">
        <v>4672.9</v>
      </c>
      <c r="L574" s="206"/>
      <c r="M574" s="191" t="s">
        <v>2893</v>
      </c>
      <c r="N574" s="48"/>
      <c r="O574" s="169"/>
      <c r="P574" s="169"/>
      <c r="Q574" s="169"/>
      <c r="R574" s="169"/>
      <c r="S574" s="169"/>
      <c r="T574" s="169"/>
      <c r="U574" s="169"/>
      <c r="V574" s="169"/>
      <c r="W574" s="169"/>
      <c r="X574" s="169"/>
      <c r="Y574" s="169"/>
      <c r="Z574" s="169"/>
      <c r="AA574" s="169"/>
      <c r="AB574" s="169"/>
      <c r="AC574" s="169"/>
      <c r="AD574" s="169"/>
      <c r="AE574" s="169"/>
      <c r="AF574" s="169"/>
      <c r="AG574" s="169"/>
      <c r="AH574" s="169"/>
    </row>
    <row r="575" ht="15.75" customHeight="1">
      <c r="A575" s="169"/>
      <c r="B575" s="38" t="s">
        <v>2222</v>
      </c>
      <c r="C575" s="191" t="s">
        <v>4368</v>
      </c>
      <c r="D575" s="40" t="s">
        <v>4369</v>
      </c>
      <c r="E575" s="40"/>
      <c r="F575" s="40"/>
      <c r="G575" s="39"/>
      <c r="H575" s="48" t="s">
        <v>4370</v>
      </c>
      <c r="I575" s="188">
        <v>45169.0</v>
      </c>
      <c r="J575" s="188">
        <v>45169.0</v>
      </c>
      <c r="K575" s="189">
        <v>3918.0</v>
      </c>
      <c r="L575" s="206"/>
      <c r="M575" s="191" t="s">
        <v>2893</v>
      </c>
      <c r="N575" s="48"/>
      <c r="O575" s="169"/>
      <c r="P575" s="169"/>
      <c r="Q575" s="169"/>
      <c r="R575" s="169"/>
      <c r="S575" s="169"/>
      <c r="T575" s="169"/>
      <c r="U575" s="169"/>
      <c r="V575" s="169"/>
      <c r="W575" s="169"/>
      <c r="X575" s="169"/>
      <c r="Y575" s="169"/>
      <c r="Z575" s="169"/>
      <c r="AA575" s="169"/>
      <c r="AB575" s="169"/>
      <c r="AC575" s="169"/>
      <c r="AD575" s="169"/>
      <c r="AE575" s="169"/>
      <c r="AF575" s="169"/>
      <c r="AG575" s="169"/>
      <c r="AH575" s="169"/>
    </row>
    <row r="576" ht="15.75" customHeight="1">
      <c r="A576" s="169"/>
      <c r="B576" s="38" t="s">
        <v>2222</v>
      </c>
      <c r="C576" s="191" t="s">
        <v>4371</v>
      </c>
      <c r="D576" s="40" t="s">
        <v>4372</v>
      </c>
      <c r="E576" s="40"/>
      <c r="F576" s="40"/>
      <c r="G576" s="39"/>
      <c r="H576" s="48" t="s">
        <v>4373</v>
      </c>
      <c r="I576" s="188">
        <v>45169.0</v>
      </c>
      <c r="J576" s="188">
        <v>45169.0</v>
      </c>
      <c r="K576" s="189">
        <v>2322.0</v>
      </c>
      <c r="L576" s="206"/>
      <c r="M576" s="191" t="s">
        <v>2893</v>
      </c>
      <c r="N576" s="48"/>
      <c r="O576" s="169"/>
      <c r="P576" s="169"/>
      <c r="Q576" s="169"/>
      <c r="R576" s="169"/>
      <c r="S576" s="169"/>
      <c r="T576" s="169"/>
      <c r="U576" s="169"/>
      <c r="V576" s="169"/>
      <c r="W576" s="169"/>
      <c r="X576" s="169"/>
      <c r="Y576" s="169"/>
      <c r="Z576" s="169"/>
      <c r="AA576" s="169"/>
      <c r="AB576" s="169"/>
      <c r="AC576" s="169"/>
      <c r="AD576" s="169"/>
      <c r="AE576" s="169"/>
      <c r="AF576" s="169"/>
      <c r="AG576" s="169"/>
      <c r="AH576" s="169"/>
    </row>
    <row r="577" ht="15.75" customHeight="1">
      <c r="A577" s="169"/>
      <c r="B577" s="38" t="s">
        <v>2222</v>
      </c>
      <c r="C577" s="191" t="s">
        <v>4374</v>
      </c>
      <c r="D577" s="40" t="s">
        <v>4375</v>
      </c>
      <c r="E577" s="40"/>
      <c r="F577" s="40"/>
      <c r="G577" s="39"/>
      <c r="H577" s="48" t="s">
        <v>4376</v>
      </c>
      <c r="I577" s="188">
        <v>45169.0</v>
      </c>
      <c r="J577" s="188">
        <v>45169.0</v>
      </c>
      <c r="K577" s="189">
        <v>2854.0</v>
      </c>
      <c r="L577" s="206"/>
      <c r="M577" s="191" t="s">
        <v>2893</v>
      </c>
      <c r="N577" s="48"/>
      <c r="O577" s="169"/>
      <c r="P577" s="169"/>
      <c r="Q577" s="169"/>
      <c r="R577" s="169"/>
      <c r="S577" s="169"/>
      <c r="T577" s="169"/>
      <c r="U577" s="169"/>
      <c r="V577" s="169"/>
      <c r="W577" s="169"/>
      <c r="X577" s="169"/>
      <c r="Y577" s="169"/>
      <c r="Z577" s="169"/>
      <c r="AA577" s="169"/>
      <c r="AB577" s="169"/>
      <c r="AC577" s="169"/>
      <c r="AD577" s="169"/>
      <c r="AE577" s="169"/>
      <c r="AF577" s="169"/>
      <c r="AG577" s="169"/>
      <c r="AH577" s="169"/>
    </row>
    <row r="578" ht="15.75" customHeight="1">
      <c r="A578" s="169"/>
      <c r="B578" s="38" t="s">
        <v>2222</v>
      </c>
      <c r="C578" s="191" t="s">
        <v>4377</v>
      </c>
      <c r="D578" s="40" t="s">
        <v>4378</v>
      </c>
      <c r="E578" s="40"/>
      <c r="F578" s="40"/>
      <c r="G578" s="39"/>
      <c r="H578" s="48" t="s">
        <v>4379</v>
      </c>
      <c r="I578" s="188">
        <v>45169.0</v>
      </c>
      <c r="J578" s="188">
        <v>45169.0</v>
      </c>
      <c r="K578" s="189">
        <v>1922.0</v>
      </c>
      <c r="L578" s="206"/>
      <c r="M578" s="191" t="s">
        <v>2893</v>
      </c>
      <c r="N578" s="48"/>
      <c r="O578" s="169"/>
      <c r="P578" s="169"/>
      <c r="Q578" s="169"/>
      <c r="R578" s="169"/>
      <c r="S578" s="169"/>
      <c r="T578" s="169"/>
      <c r="U578" s="169"/>
      <c r="V578" s="169"/>
      <c r="W578" s="169"/>
      <c r="X578" s="169"/>
      <c r="Y578" s="169"/>
      <c r="Z578" s="169"/>
      <c r="AA578" s="169"/>
      <c r="AB578" s="169"/>
      <c r="AC578" s="169"/>
      <c r="AD578" s="169"/>
      <c r="AE578" s="169"/>
      <c r="AF578" s="169"/>
      <c r="AG578" s="169"/>
      <c r="AH578" s="169"/>
    </row>
    <row r="579" ht="15.75" customHeight="1">
      <c r="A579" s="169"/>
      <c r="B579" s="38" t="s">
        <v>2222</v>
      </c>
      <c r="C579" s="191" t="s">
        <v>4380</v>
      </c>
      <c r="D579" s="40" t="s">
        <v>4381</v>
      </c>
      <c r="E579" s="40"/>
      <c r="F579" s="40"/>
      <c r="G579" s="39"/>
      <c r="H579" s="48" t="s">
        <v>4382</v>
      </c>
      <c r="I579" s="188">
        <v>45169.0</v>
      </c>
      <c r="J579" s="188">
        <v>45169.0</v>
      </c>
      <c r="K579" s="189">
        <v>2454.0</v>
      </c>
      <c r="L579" s="206"/>
      <c r="M579" s="191" t="s">
        <v>2893</v>
      </c>
      <c r="N579" s="48"/>
      <c r="O579" s="169"/>
      <c r="P579" s="169"/>
      <c r="Q579" s="169"/>
      <c r="R579" s="169"/>
      <c r="S579" s="169"/>
      <c r="T579" s="169"/>
      <c r="U579" s="169"/>
      <c r="V579" s="169"/>
      <c r="W579" s="169"/>
      <c r="X579" s="169"/>
      <c r="Y579" s="169"/>
      <c r="Z579" s="169"/>
      <c r="AA579" s="169"/>
      <c r="AB579" s="169"/>
      <c r="AC579" s="169"/>
      <c r="AD579" s="169"/>
      <c r="AE579" s="169"/>
      <c r="AF579" s="169"/>
      <c r="AG579" s="169"/>
      <c r="AH579" s="169"/>
    </row>
    <row r="580" ht="15.75" customHeight="1">
      <c r="A580" s="169"/>
      <c r="B580" s="38" t="s">
        <v>2222</v>
      </c>
      <c r="C580" s="191" t="s">
        <v>4383</v>
      </c>
      <c r="D580" s="40" t="s">
        <v>4384</v>
      </c>
      <c r="E580" s="40"/>
      <c r="F580" s="40"/>
      <c r="G580" s="39"/>
      <c r="H580" s="48" t="s">
        <v>4385</v>
      </c>
      <c r="I580" s="188">
        <v>45169.0</v>
      </c>
      <c r="J580" s="188">
        <v>45169.0</v>
      </c>
      <c r="K580" s="189">
        <v>1892.0</v>
      </c>
      <c r="L580" s="206"/>
      <c r="M580" s="191" t="s">
        <v>2893</v>
      </c>
      <c r="N580" s="48"/>
      <c r="O580" s="169"/>
      <c r="P580" s="169"/>
      <c r="Q580" s="169"/>
      <c r="R580" s="169"/>
      <c r="S580" s="169"/>
      <c r="T580" s="169"/>
      <c r="U580" s="169"/>
      <c r="V580" s="169"/>
      <c r="W580" s="169"/>
      <c r="X580" s="169"/>
      <c r="Y580" s="169"/>
      <c r="Z580" s="169"/>
      <c r="AA580" s="169"/>
      <c r="AB580" s="169"/>
      <c r="AC580" s="169"/>
      <c r="AD580" s="169"/>
      <c r="AE580" s="169"/>
      <c r="AF580" s="169"/>
      <c r="AG580" s="169"/>
      <c r="AH580" s="169"/>
    </row>
    <row r="581" ht="15.75" customHeight="1">
      <c r="A581" s="169"/>
      <c r="B581" s="38" t="s">
        <v>2222</v>
      </c>
      <c r="C581" s="191" t="s">
        <v>4386</v>
      </c>
      <c r="D581" s="40" t="s">
        <v>4387</v>
      </c>
      <c r="E581" s="40"/>
      <c r="F581" s="40"/>
      <c r="G581" s="39"/>
      <c r="H581" s="48" t="s">
        <v>4388</v>
      </c>
      <c r="I581" s="188">
        <v>45169.0</v>
      </c>
      <c r="J581" s="188">
        <v>45169.0</v>
      </c>
      <c r="K581" s="189">
        <v>2424.0</v>
      </c>
      <c r="L581" s="206"/>
      <c r="M581" s="191" t="s">
        <v>2893</v>
      </c>
      <c r="N581" s="48"/>
      <c r="O581" s="169"/>
      <c r="P581" s="169"/>
      <c r="Q581" s="169"/>
      <c r="R581" s="169"/>
      <c r="S581" s="169"/>
      <c r="T581" s="169"/>
      <c r="U581" s="169"/>
      <c r="V581" s="169"/>
      <c r="W581" s="169"/>
      <c r="X581" s="169"/>
      <c r="Y581" s="169"/>
      <c r="Z581" s="169"/>
      <c r="AA581" s="169"/>
      <c r="AB581" s="169"/>
      <c r="AC581" s="169"/>
      <c r="AD581" s="169"/>
      <c r="AE581" s="169"/>
      <c r="AF581" s="169"/>
      <c r="AG581" s="169"/>
      <c r="AH581" s="169"/>
    </row>
    <row r="582" ht="15.75" customHeight="1">
      <c r="A582" s="169"/>
      <c r="B582" s="38" t="s">
        <v>23</v>
      </c>
      <c r="C582" s="191" t="s">
        <v>4389</v>
      </c>
      <c r="D582" s="40" t="s">
        <v>1609</v>
      </c>
      <c r="E582" s="40"/>
      <c r="F582" s="40"/>
      <c r="G582" s="39"/>
      <c r="H582" s="48" t="s">
        <v>4390</v>
      </c>
      <c r="I582" s="188">
        <v>45169.0</v>
      </c>
      <c r="J582" s="188">
        <v>45260.0</v>
      </c>
      <c r="K582" s="189">
        <v>52.0</v>
      </c>
      <c r="L582" s="206"/>
      <c r="M582" s="191" t="s">
        <v>1613</v>
      </c>
      <c r="N582" s="48" t="s">
        <v>1614</v>
      </c>
      <c r="O582" s="169"/>
      <c r="P582" s="169"/>
      <c r="Q582" s="169"/>
      <c r="R582" s="169"/>
      <c r="S582" s="169"/>
      <c r="T582" s="169"/>
      <c r="U582" s="169"/>
      <c r="V582" s="169"/>
      <c r="W582" s="169"/>
      <c r="X582" s="169"/>
      <c r="Y582" s="169"/>
      <c r="Z582" s="169"/>
      <c r="AA582" s="169"/>
      <c r="AB582" s="169"/>
      <c r="AC582" s="169"/>
      <c r="AD582" s="169"/>
      <c r="AE582" s="169"/>
      <c r="AF582" s="169"/>
      <c r="AG582" s="169"/>
      <c r="AH582" s="169"/>
    </row>
    <row r="583" ht="15.75" customHeight="1">
      <c r="A583" s="169"/>
      <c r="B583" s="38" t="s">
        <v>23</v>
      </c>
      <c r="C583" s="191" t="s">
        <v>4391</v>
      </c>
      <c r="D583" s="40" t="s">
        <v>1413</v>
      </c>
      <c r="E583" s="40"/>
      <c r="F583" s="40"/>
      <c r="G583" s="39"/>
      <c r="H583" s="48" t="s">
        <v>4392</v>
      </c>
      <c r="I583" s="188">
        <v>45169.0</v>
      </c>
      <c r="J583" s="188">
        <v>45596.0</v>
      </c>
      <c r="K583" s="189">
        <v>119.0</v>
      </c>
      <c r="L583" s="206"/>
      <c r="M583" s="191" t="s">
        <v>1412</v>
      </c>
      <c r="N583" s="48"/>
      <c r="O583" s="169"/>
      <c r="P583" s="169"/>
      <c r="Q583" s="169"/>
      <c r="R583" s="169"/>
      <c r="S583" s="169"/>
      <c r="T583" s="169"/>
      <c r="U583" s="169"/>
      <c r="V583" s="169"/>
      <c r="W583" s="169"/>
      <c r="X583" s="169"/>
      <c r="Y583" s="169"/>
      <c r="Z583" s="169"/>
      <c r="AA583" s="169"/>
      <c r="AB583" s="169"/>
      <c r="AC583" s="169"/>
      <c r="AD583" s="169"/>
      <c r="AE583" s="169"/>
      <c r="AF583" s="169"/>
      <c r="AG583" s="169"/>
      <c r="AH583" s="169"/>
    </row>
    <row r="584" ht="15.75" customHeight="1">
      <c r="A584" s="169"/>
      <c r="B584" s="38" t="s">
        <v>23</v>
      </c>
      <c r="C584" s="191" t="s">
        <v>4393</v>
      </c>
      <c r="D584" s="40" t="s">
        <v>1636</v>
      </c>
      <c r="E584" s="40"/>
      <c r="F584" s="40"/>
      <c r="G584" s="39"/>
      <c r="H584" s="48" t="s">
        <v>4394</v>
      </c>
      <c r="I584" s="188">
        <v>45199.0</v>
      </c>
      <c r="J584" s="188">
        <v>45230.0</v>
      </c>
      <c r="K584" s="189">
        <v>8.0</v>
      </c>
      <c r="L584" s="206"/>
      <c r="M584" s="191" t="s">
        <v>1635</v>
      </c>
      <c r="N584" s="48" t="s">
        <v>1637</v>
      </c>
      <c r="O584" s="169"/>
      <c r="P584" s="169"/>
      <c r="Q584" s="169"/>
      <c r="R584" s="169"/>
      <c r="S584" s="169"/>
      <c r="T584" s="169"/>
      <c r="U584" s="169"/>
      <c r="V584" s="169"/>
      <c r="W584" s="169"/>
      <c r="X584" s="169"/>
      <c r="Y584" s="169"/>
      <c r="Z584" s="169"/>
      <c r="AA584" s="169"/>
      <c r="AB584" s="169"/>
      <c r="AC584" s="169"/>
      <c r="AD584" s="169"/>
      <c r="AE584" s="169"/>
      <c r="AF584" s="169"/>
      <c r="AG584" s="169"/>
      <c r="AH584" s="169"/>
    </row>
    <row r="585" ht="15.75" customHeight="1">
      <c r="A585" s="169"/>
      <c r="B585" s="38" t="s">
        <v>1031</v>
      </c>
      <c r="C585" s="191" t="s">
        <v>3961</v>
      </c>
      <c r="D585" s="40" t="s">
        <v>4395</v>
      </c>
      <c r="E585" s="40"/>
      <c r="F585" s="40"/>
      <c r="G585" s="39"/>
      <c r="H585" s="48" t="s">
        <v>3990</v>
      </c>
      <c r="I585" s="188">
        <v>45199.0</v>
      </c>
      <c r="J585" s="188">
        <v>45199.0</v>
      </c>
      <c r="K585" s="189">
        <v>1700.0</v>
      </c>
      <c r="L585" s="206"/>
      <c r="M585" s="191" t="s">
        <v>1053</v>
      </c>
      <c r="N585" s="48" t="s">
        <v>1055</v>
      </c>
      <c r="O585" s="169"/>
      <c r="P585" s="169"/>
      <c r="Q585" s="169"/>
      <c r="R585" s="169"/>
      <c r="S585" s="169"/>
      <c r="T585" s="169"/>
      <c r="U585" s="169"/>
      <c r="V585" s="169"/>
      <c r="W585" s="169"/>
      <c r="X585" s="169"/>
      <c r="Y585" s="169"/>
      <c r="Z585" s="169"/>
      <c r="AA585" s="169"/>
      <c r="AB585" s="169"/>
      <c r="AC585" s="169"/>
      <c r="AD585" s="169"/>
      <c r="AE585" s="169"/>
      <c r="AF585" s="169"/>
      <c r="AG585" s="169"/>
      <c r="AH585" s="169"/>
    </row>
    <row r="586" ht="15.75" customHeight="1">
      <c r="A586" s="169"/>
      <c r="B586" s="38" t="s">
        <v>1031</v>
      </c>
      <c r="C586" s="191" t="s">
        <v>3989</v>
      </c>
      <c r="D586" s="40" t="s">
        <v>4396</v>
      </c>
      <c r="E586" s="40"/>
      <c r="F586" s="40"/>
      <c r="G586" s="39"/>
      <c r="H586" s="48" t="s">
        <v>4397</v>
      </c>
      <c r="I586" s="188">
        <v>45199.0</v>
      </c>
      <c r="J586" s="188">
        <v>45199.0</v>
      </c>
      <c r="K586" s="189">
        <v>1860.0</v>
      </c>
      <c r="L586" s="206"/>
      <c r="M586" s="191" t="s">
        <v>1065</v>
      </c>
      <c r="N586" s="48" t="s">
        <v>1067</v>
      </c>
      <c r="O586" s="169"/>
      <c r="P586" s="169"/>
      <c r="Q586" s="169"/>
      <c r="R586" s="169"/>
      <c r="S586" s="169"/>
      <c r="T586" s="169"/>
      <c r="U586" s="169"/>
      <c r="V586" s="169"/>
      <c r="W586" s="169"/>
      <c r="X586" s="169"/>
      <c r="Y586" s="169"/>
      <c r="Z586" s="169"/>
      <c r="AA586" s="169"/>
      <c r="AB586" s="169"/>
      <c r="AC586" s="169"/>
      <c r="AD586" s="169"/>
      <c r="AE586" s="169"/>
      <c r="AF586" s="169"/>
      <c r="AG586" s="169"/>
      <c r="AH586" s="169"/>
    </row>
    <row r="587" ht="15.75" customHeight="1">
      <c r="A587" s="169"/>
      <c r="B587" s="38" t="s">
        <v>1031</v>
      </c>
      <c r="C587" s="191" t="s">
        <v>4042</v>
      </c>
      <c r="D587" s="40" t="s">
        <v>4398</v>
      </c>
      <c r="E587" s="40"/>
      <c r="F587" s="40"/>
      <c r="G587" s="39"/>
      <c r="H587" s="48" t="s">
        <v>4043</v>
      </c>
      <c r="I587" s="188">
        <v>45199.0</v>
      </c>
      <c r="J587" s="188">
        <v>45199.0</v>
      </c>
      <c r="K587" s="189">
        <v>1360.0</v>
      </c>
      <c r="L587" s="206"/>
      <c r="M587" s="191" t="s">
        <v>1085</v>
      </c>
      <c r="N587" s="48" t="s">
        <v>1087</v>
      </c>
      <c r="O587" s="169"/>
      <c r="P587" s="169"/>
      <c r="Q587" s="169"/>
      <c r="R587" s="169"/>
      <c r="S587" s="169"/>
      <c r="T587" s="169"/>
      <c r="U587" s="169"/>
      <c r="V587" s="169"/>
      <c r="W587" s="169"/>
      <c r="X587" s="169"/>
      <c r="Y587" s="169"/>
      <c r="Z587" s="169"/>
      <c r="AA587" s="169"/>
      <c r="AB587" s="169"/>
      <c r="AC587" s="169"/>
      <c r="AD587" s="169"/>
      <c r="AE587" s="169"/>
      <c r="AF587" s="169"/>
      <c r="AG587" s="169"/>
      <c r="AH587" s="169"/>
    </row>
    <row r="588" ht="15.75" customHeight="1">
      <c r="A588" s="169"/>
      <c r="B588" s="38" t="s">
        <v>1031</v>
      </c>
      <c r="C588" s="191" t="s">
        <v>4033</v>
      </c>
      <c r="D588" s="40" t="s">
        <v>4399</v>
      </c>
      <c r="E588" s="40"/>
      <c r="F588" s="40"/>
      <c r="G588" s="39"/>
      <c r="H588" s="48" t="s">
        <v>4400</v>
      </c>
      <c r="I588" s="188">
        <v>45199.0</v>
      </c>
      <c r="J588" s="188">
        <v>45199.0</v>
      </c>
      <c r="K588" s="189">
        <v>700.0</v>
      </c>
      <c r="L588" s="206"/>
      <c r="M588" s="191" t="s">
        <v>2893</v>
      </c>
      <c r="N588" s="48"/>
      <c r="O588" s="169"/>
      <c r="P588" s="169"/>
      <c r="Q588" s="169"/>
      <c r="R588" s="169"/>
      <c r="S588" s="169"/>
      <c r="T588" s="169"/>
      <c r="U588" s="169"/>
      <c r="V588" s="169"/>
      <c r="W588" s="169"/>
      <c r="X588" s="169"/>
      <c r="Y588" s="169"/>
      <c r="Z588" s="169"/>
      <c r="AA588" s="169"/>
      <c r="AB588" s="169"/>
      <c r="AC588" s="169"/>
      <c r="AD588" s="169"/>
      <c r="AE588" s="169"/>
      <c r="AF588" s="169"/>
      <c r="AG588" s="169"/>
      <c r="AH588" s="169"/>
    </row>
    <row r="589" ht="15.75" customHeight="1">
      <c r="A589" s="169"/>
      <c r="B589" s="38" t="s">
        <v>1031</v>
      </c>
      <c r="C589" s="191" t="s">
        <v>3503</v>
      </c>
      <c r="D589" s="40" t="s">
        <v>3282</v>
      </c>
      <c r="E589" s="40"/>
      <c r="F589" s="40"/>
      <c r="G589" s="39"/>
      <c r="H589" s="48" t="s">
        <v>4401</v>
      </c>
      <c r="I589" s="188">
        <v>45199.0</v>
      </c>
      <c r="J589" s="188">
        <v>45199.0</v>
      </c>
      <c r="K589" s="189">
        <v>607.0</v>
      </c>
      <c r="L589" s="206"/>
      <c r="M589" s="191" t="s">
        <v>1107</v>
      </c>
      <c r="N589" s="48" t="s">
        <v>1109</v>
      </c>
      <c r="O589" s="169"/>
      <c r="P589" s="169"/>
      <c r="Q589" s="169"/>
      <c r="R589" s="169"/>
      <c r="S589" s="169"/>
      <c r="T589" s="169"/>
      <c r="U589" s="169"/>
      <c r="V589" s="169"/>
      <c r="W589" s="169"/>
      <c r="X589" s="169"/>
      <c r="Y589" s="169"/>
      <c r="Z589" s="169"/>
      <c r="AA589" s="169"/>
      <c r="AB589" s="169"/>
      <c r="AC589" s="169"/>
      <c r="AD589" s="169"/>
      <c r="AE589" s="169"/>
      <c r="AF589" s="169"/>
      <c r="AG589" s="169"/>
      <c r="AH589" s="169"/>
    </row>
    <row r="590" ht="15.75" customHeight="1">
      <c r="A590" s="169"/>
      <c r="B590" s="38" t="s">
        <v>1031</v>
      </c>
      <c r="C590" s="191" t="s">
        <v>4402</v>
      </c>
      <c r="D590" s="40" t="s">
        <v>3192</v>
      </c>
      <c r="E590" s="40"/>
      <c r="F590" s="40"/>
      <c r="G590" s="39"/>
      <c r="H590" s="48" t="s">
        <v>4403</v>
      </c>
      <c r="I590" s="188">
        <v>44742.0</v>
      </c>
      <c r="J590" s="188">
        <v>45199.0</v>
      </c>
      <c r="K590" s="189">
        <v>1100.0</v>
      </c>
      <c r="L590" s="206"/>
      <c r="M590" s="191" t="s">
        <v>4404</v>
      </c>
      <c r="N590" s="48" t="s">
        <v>4405</v>
      </c>
      <c r="O590" s="169"/>
      <c r="P590" s="169"/>
      <c r="Q590" s="169"/>
      <c r="R590" s="169"/>
      <c r="S590" s="169"/>
      <c r="T590" s="169"/>
      <c r="U590" s="169"/>
      <c r="V590" s="169"/>
      <c r="W590" s="169"/>
      <c r="X590" s="169"/>
      <c r="Y590" s="169"/>
      <c r="Z590" s="169"/>
      <c r="AA590" s="169"/>
      <c r="AB590" s="169"/>
      <c r="AC590" s="169"/>
      <c r="AD590" s="169"/>
      <c r="AE590" s="169"/>
      <c r="AF590" s="169"/>
      <c r="AG590" s="169"/>
      <c r="AH590" s="169"/>
    </row>
    <row r="591" ht="15.75" customHeight="1">
      <c r="A591" s="169"/>
      <c r="B591" s="38" t="s">
        <v>1031</v>
      </c>
      <c r="C591" s="191" t="s">
        <v>3174</v>
      </c>
      <c r="D591" s="40" t="s">
        <v>3165</v>
      </c>
      <c r="E591" s="40"/>
      <c r="F591" s="40"/>
      <c r="G591" s="39"/>
      <c r="H591" s="48" t="s">
        <v>3175</v>
      </c>
      <c r="I591" s="188">
        <v>45199.0</v>
      </c>
      <c r="J591" s="188">
        <v>45199.0</v>
      </c>
      <c r="K591" s="189">
        <v>1305.0</v>
      </c>
      <c r="L591" s="206"/>
      <c r="M591" s="191" t="s">
        <v>1270</v>
      </c>
      <c r="N591" s="48" t="s">
        <v>1272</v>
      </c>
      <c r="O591" s="169"/>
      <c r="P591" s="169"/>
      <c r="Q591" s="169"/>
      <c r="R591" s="169"/>
      <c r="S591" s="169"/>
      <c r="T591" s="169"/>
      <c r="U591" s="169"/>
      <c r="V591" s="169"/>
      <c r="W591" s="169"/>
      <c r="X591" s="169"/>
      <c r="Y591" s="169"/>
      <c r="Z591" s="169"/>
      <c r="AA591" s="169"/>
      <c r="AB591" s="169"/>
      <c r="AC591" s="169"/>
      <c r="AD591" s="169"/>
      <c r="AE591" s="169"/>
      <c r="AF591" s="169"/>
      <c r="AG591" s="169"/>
      <c r="AH591" s="169"/>
    </row>
    <row r="592" ht="15.75" customHeight="1">
      <c r="A592" s="169"/>
      <c r="B592" s="38" t="s">
        <v>1031</v>
      </c>
      <c r="C592" s="191" t="s">
        <v>4406</v>
      </c>
      <c r="D592" s="40" t="s">
        <v>3165</v>
      </c>
      <c r="E592" s="40"/>
      <c r="F592" s="40"/>
      <c r="G592" s="39"/>
      <c r="H592" s="48" t="s">
        <v>4407</v>
      </c>
      <c r="I592" s="188">
        <v>45199.0</v>
      </c>
      <c r="J592" s="188">
        <v>45199.0</v>
      </c>
      <c r="K592" s="189">
        <v>845.0</v>
      </c>
      <c r="L592" s="206"/>
      <c r="M592" s="191" t="s">
        <v>1275</v>
      </c>
      <c r="N592" s="48" t="s">
        <v>1276</v>
      </c>
      <c r="O592" s="169"/>
      <c r="P592" s="169"/>
      <c r="Q592" s="169"/>
      <c r="R592" s="169"/>
      <c r="S592" s="169"/>
      <c r="T592" s="169"/>
      <c r="U592" s="169"/>
      <c r="V592" s="169"/>
      <c r="W592" s="169"/>
      <c r="X592" s="169"/>
      <c r="Y592" s="169"/>
      <c r="Z592" s="169"/>
      <c r="AA592" s="169"/>
      <c r="AB592" s="169"/>
      <c r="AC592" s="169"/>
      <c r="AD592" s="169"/>
      <c r="AE592" s="169"/>
      <c r="AF592" s="169"/>
      <c r="AG592" s="169"/>
      <c r="AH592" s="169"/>
    </row>
    <row r="593" ht="15.75" customHeight="1">
      <c r="A593" s="169"/>
      <c r="B593" s="38" t="s">
        <v>1031</v>
      </c>
      <c r="C593" s="191" t="s">
        <v>3185</v>
      </c>
      <c r="D593" s="40" t="s">
        <v>1299</v>
      </c>
      <c r="E593" s="40"/>
      <c r="F593" s="40"/>
      <c r="G593" s="39"/>
      <c r="H593" s="48" t="s">
        <v>3186</v>
      </c>
      <c r="I593" s="188">
        <v>45199.0</v>
      </c>
      <c r="J593" s="188">
        <v>45199.0</v>
      </c>
      <c r="K593" s="189">
        <v>550.0</v>
      </c>
      <c r="L593" s="206"/>
      <c r="M593" s="191" t="s">
        <v>1280</v>
      </c>
      <c r="N593" s="48" t="s">
        <v>1282</v>
      </c>
      <c r="O593" s="169"/>
      <c r="P593" s="169"/>
      <c r="Q593" s="169"/>
      <c r="R593" s="169"/>
      <c r="S593" s="169"/>
      <c r="T593" s="169"/>
      <c r="U593" s="169"/>
      <c r="V593" s="169"/>
      <c r="W593" s="169"/>
      <c r="X593" s="169"/>
      <c r="Y593" s="169"/>
      <c r="Z593" s="169"/>
      <c r="AA593" s="169"/>
      <c r="AB593" s="169"/>
      <c r="AC593" s="169"/>
      <c r="AD593" s="169"/>
      <c r="AE593" s="169"/>
      <c r="AF593" s="169"/>
      <c r="AG593" s="169"/>
      <c r="AH593" s="169"/>
    </row>
    <row r="594" ht="15.75" customHeight="1">
      <c r="A594" s="169"/>
      <c r="B594" s="38" t="s">
        <v>1031</v>
      </c>
      <c r="C594" s="191" t="s">
        <v>4408</v>
      </c>
      <c r="D594" s="40" t="s">
        <v>1299</v>
      </c>
      <c r="E594" s="40"/>
      <c r="F594" s="40"/>
      <c r="G594" s="39"/>
      <c r="H594" s="48" t="s">
        <v>4409</v>
      </c>
      <c r="I594" s="188">
        <v>45199.0</v>
      </c>
      <c r="J594" s="188">
        <v>45199.0</v>
      </c>
      <c r="K594" s="189">
        <v>500.0</v>
      </c>
      <c r="L594" s="206"/>
      <c r="M594" s="191" t="s">
        <v>1291</v>
      </c>
      <c r="N594" s="48" t="s">
        <v>1292</v>
      </c>
      <c r="O594" s="169"/>
      <c r="P594" s="169"/>
      <c r="Q594" s="169"/>
      <c r="R594" s="169"/>
      <c r="S594" s="169"/>
      <c r="T594" s="169"/>
      <c r="U594" s="169"/>
      <c r="V594" s="169"/>
      <c r="W594" s="169"/>
      <c r="X594" s="169"/>
      <c r="Y594" s="169"/>
      <c r="Z594" s="169"/>
      <c r="AA594" s="169"/>
      <c r="AB594" s="169"/>
      <c r="AC594" s="169"/>
      <c r="AD594" s="169"/>
      <c r="AE594" s="169"/>
      <c r="AF594" s="169"/>
      <c r="AG594" s="169"/>
      <c r="AH594" s="169"/>
    </row>
    <row r="595" ht="15.75" customHeight="1">
      <c r="A595" s="169"/>
      <c r="B595" s="38" t="s">
        <v>118</v>
      </c>
      <c r="C595" s="191" t="s">
        <v>896</v>
      </c>
      <c r="D595" s="40" t="s">
        <v>719</v>
      </c>
      <c r="E595" s="40" t="s">
        <v>897</v>
      </c>
      <c r="F595" s="40" t="s">
        <v>623</v>
      </c>
      <c r="G595" s="39" t="s">
        <v>18</v>
      </c>
      <c r="H595" s="48" t="s">
        <v>899</v>
      </c>
      <c r="I595" s="188">
        <v>45199.0</v>
      </c>
      <c r="J595" s="205">
        <f>I595+65</f>
        <v>45264</v>
      </c>
      <c r="K595" s="189">
        <v>355.0</v>
      </c>
      <c r="L595" s="206"/>
      <c r="M595" s="191" t="s">
        <v>2893</v>
      </c>
      <c r="N595" s="48"/>
      <c r="O595" s="169"/>
      <c r="P595" s="169"/>
      <c r="Q595" s="169"/>
      <c r="R595" s="169"/>
      <c r="S595" s="169"/>
      <c r="T595" s="169"/>
      <c r="U595" s="169"/>
      <c r="V595" s="169"/>
      <c r="W595" s="169"/>
      <c r="X595" s="169"/>
      <c r="Y595" s="169"/>
      <c r="Z595" s="169"/>
      <c r="AA595" s="169"/>
      <c r="AB595" s="169"/>
      <c r="AC595" s="169"/>
      <c r="AD595" s="169"/>
      <c r="AE595" s="169"/>
      <c r="AF595" s="169"/>
      <c r="AG595" s="169"/>
      <c r="AH595" s="169"/>
    </row>
    <row r="596" ht="15.75" customHeight="1">
      <c r="A596" s="169"/>
      <c r="B596" s="38" t="s">
        <v>118</v>
      </c>
      <c r="C596" s="191" t="s">
        <v>3248</v>
      </c>
      <c r="D596" s="40" t="s">
        <v>719</v>
      </c>
      <c r="E596" s="40" t="s">
        <v>897</v>
      </c>
      <c r="F596" s="40" t="s">
        <v>623</v>
      </c>
      <c r="G596" s="39" t="s">
        <v>18</v>
      </c>
      <c r="H596" s="48" t="s">
        <v>4410</v>
      </c>
      <c r="I596" s="188">
        <v>45199.0</v>
      </c>
      <c r="J596" s="188">
        <v>45291.0</v>
      </c>
      <c r="K596" s="189">
        <v>243.0</v>
      </c>
      <c r="L596" s="206"/>
      <c r="M596" s="191" t="s">
        <v>2893</v>
      </c>
      <c r="N596" s="48"/>
      <c r="O596" s="169"/>
      <c r="P596" s="169"/>
      <c r="Q596" s="169"/>
      <c r="R596" s="169"/>
      <c r="S596" s="169"/>
      <c r="T596" s="169"/>
      <c r="U596" s="169"/>
      <c r="V596" s="169"/>
      <c r="W596" s="169"/>
      <c r="X596" s="169"/>
      <c r="Y596" s="169"/>
      <c r="Z596" s="169"/>
      <c r="AA596" s="169"/>
      <c r="AB596" s="169"/>
      <c r="AC596" s="169"/>
      <c r="AD596" s="169"/>
      <c r="AE596" s="169"/>
      <c r="AF596" s="169"/>
      <c r="AG596" s="169"/>
      <c r="AH596" s="169"/>
    </row>
    <row r="597" ht="15.75" customHeight="1">
      <c r="A597" s="169"/>
      <c r="B597" s="38" t="s">
        <v>118</v>
      </c>
      <c r="C597" s="191" t="s">
        <v>3245</v>
      </c>
      <c r="D597" s="40" t="s">
        <v>719</v>
      </c>
      <c r="E597" s="40" t="s">
        <v>897</v>
      </c>
      <c r="F597" s="40" t="s">
        <v>623</v>
      </c>
      <c r="G597" s="39" t="s">
        <v>18</v>
      </c>
      <c r="H597" s="48" t="s">
        <v>4411</v>
      </c>
      <c r="I597" s="188">
        <v>45199.0</v>
      </c>
      <c r="J597" s="188">
        <v>45291.0</v>
      </c>
      <c r="K597" s="189">
        <v>243.0</v>
      </c>
      <c r="L597" s="206"/>
      <c r="M597" s="191" t="s">
        <v>2893</v>
      </c>
      <c r="N597" s="48"/>
      <c r="O597" s="169"/>
      <c r="P597" s="169"/>
      <c r="Q597" s="169"/>
      <c r="R597" s="169"/>
      <c r="S597" s="169"/>
      <c r="T597" s="169"/>
      <c r="U597" s="169"/>
      <c r="V597" s="169"/>
      <c r="W597" s="169"/>
      <c r="X597" s="169"/>
      <c r="Y597" s="169"/>
      <c r="Z597" s="169"/>
      <c r="AA597" s="169"/>
      <c r="AB597" s="169"/>
      <c r="AC597" s="169"/>
      <c r="AD597" s="169"/>
      <c r="AE597" s="169"/>
      <c r="AF597" s="169"/>
      <c r="AG597" s="169"/>
      <c r="AH597" s="169"/>
    </row>
    <row r="598" ht="15.75" customHeight="1">
      <c r="A598" s="169"/>
      <c r="B598" s="38" t="s">
        <v>118</v>
      </c>
      <c r="C598" s="191" t="s">
        <v>3256</v>
      </c>
      <c r="D598" s="40" t="s">
        <v>830</v>
      </c>
      <c r="E598" s="40" t="s">
        <v>897</v>
      </c>
      <c r="F598" s="40" t="s">
        <v>623</v>
      </c>
      <c r="G598" s="39" t="s">
        <v>184</v>
      </c>
      <c r="H598" s="48" t="s">
        <v>4412</v>
      </c>
      <c r="I598" s="188">
        <v>45199.0</v>
      </c>
      <c r="J598" s="188">
        <v>45351.0</v>
      </c>
      <c r="K598" s="189">
        <v>239.0</v>
      </c>
      <c r="L598" s="206"/>
      <c r="M598" s="191" t="s">
        <v>2893</v>
      </c>
      <c r="N598" s="48"/>
      <c r="O598" s="169"/>
      <c r="P598" s="169"/>
      <c r="Q598" s="169"/>
      <c r="R598" s="169"/>
      <c r="S598" s="169"/>
      <c r="T598" s="169"/>
      <c r="U598" s="169"/>
      <c r="V598" s="169"/>
      <c r="W598" s="169"/>
      <c r="X598" s="169"/>
      <c r="Y598" s="169"/>
      <c r="Z598" s="169"/>
      <c r="AA598" s="169"/>
      <c r="AB598" s="169"/>
      <c r="AC598" s="169"/>
      <c r="AD598" s="169"/>
      <c r="AE598" s="169"/>
      <c r="AF598" s="169"/>
      <c r="AG598" s="169"/>
      <c r="AH598" s="169"/>
    </row>
    <row r="599" ht="15.75" customHeight="1">
      <c r="A599" s="169"/>
      <c r="B599" s="38" t="s">
        <v>118</v>
      </c>
      <c r="C599" s="191" t="s">
        <v>3259</v>
      </c>
      <c r="D599" s="40" t="s">
        <v>830</v>
      </c>
      <c r="E599" s="40" t="s">
        <v>897</v>
      </c>
      <c r="F599" s="40" t="s">
        <v>623</v>
      </c>
      <c r="G599" s="39" t="s">
        <v>184</v>
      </c>
      <c r="H599" s="48" t="s">
        <v>4413</v>
      </c>
      <c r="I599" s="188">
        <v>45199.0</v>
      </c>
      <c r="J599" s="188">
        <v>45230.0</v>
      </c>
      <c r="K599" s="189">
        <v>239.0</v>
      </c>
      <c r="L599" s="206"/>
      <c r="M599" s="191" t="s">
        <v>2893</v>
      </c>
      <c r="N599" s="48"/>
      <c r="O599" s="169"/>
      <c r="P599" s="169"/>
      <c r="Q599" s="169"/>
      <c r="R599" s="169"/>
      <c r="S599" s="169"/>
      <c r="T599" s="169"/>
      <c r="U599" s="169"/>
      <c r="V599" s="169"/>
      <c r="W599" s="169"/>
      <c r="X599" s="169"/>
      <c r="Y599" s="169"/>
      <c r="Z599" s="169"/>
      <c r="AA599" s="169"/>
      <c r="AB599" s="169"/>
      <c r="AC599" s="169"/>
      <c r="AD599" s="169"/>
      <c r="AE599" s="169"/>
      <c r="AF599" s="169"/>
      <c r="AG599" s="169"/>
      <c r="AH599" s="169"/>
    </row>
    <row r="600" ht="15.75" customHeight="1">
      <c r="A600" s="169"/>
      <c r="B600" s="38" t="s">
        <v>118</v>
      </c>
      <c r="C600" s="191" t="s">
        <v>3265</v>
      </c>
      <c r="D600" s="40" t="s">
        <v>830</v>
      </c>
      <c r="E600" s="40" t="s">
        <v>897</v>
      </c>
      <c r="F600" s="40" t="s">
        <v>623</v>
      </c>
      <c r="G600" s="39" t="s">
        <v>184</v>
      </c>
      <c r="H600" s="48" t="s">
        <v>4414</v>
      </c>
      <c r="I600" s="188">
        <v>45199.0</v>
      </c>
      <c r="J600" s="188">
        <v>45442.0</v>
      </c>
      <c r="K600" s="189">
        <v>362.0</v>
      </c>
      <c r="L600" s="206"/>
      <c r="M600" s="191" t="s">
        <v>2893</v>
      </c>
      <c r="N600" s="48"/>
      <c r="O600" s="169"/>
      <c r="P600" s="169"/>
      <c r="Q600" s="169"/>
      <c r="R600" s="169"/>
      <c r="S600" s="169"/>
      <c r="T600" s="169"/>
      <c r="U600" s="169"/>
      <c r="V600" s="169"/>
      <c r="W600" s="169"/>
      <c r="X600" s="169"/>
      <c r="Y600" s="169"/>
      <c r="Z600" s="169"/>
      <c r="AA600" s="169"/>
      <c r="AB600" s="169"/>
      <c r="AC600" s="169"/>
      <c r="AD600" s="169"/>
      <c r="AE600" s="169"/>
      <c r="AF600" s="169"/>
      <c r="AG600" s="169"/>
      <c r="AH600" s="169"/>
    </row>
    <row r="601" ht="15.75" customHeight="1">
      <c r="A601" s="169"/>
      <c r="B601" s="38" t="s">
        <v>118</v>
      </c>
      <c r="C601" s="191" t="s">
        <v>3242</v>
      </c>
      <c r="D601" s="40" t="s">
        <v>812</v>
      </c>
      <c r="E601" s="40" t="s">
        <v>897</v>
      </c>
      <c r="F601" s="40" t="s">
        <v>623</v>
      </c>
      <c r="G601" s="39" t="s">
        <v>192</v>
      </c>
      <c r="H601" s="48" t="s">
        <v>4415</v>
      </c>
      <c r="I601" s="188">
        <v>45199.0</v>
      </c>
      <c r="J601" s="188">
        <v>45291.0</v>
      </c>
      <c r="K601" s="189">
        <v>339.0</v>
      </c>
      <c r="L601" s="206"/>
      <c r="M601" s="191" t="s">
        <v>2893</v>
      </c>
      <c r="N601" s="48"/>
      <c r="O601" s="169"/>
      <c r="P601" s="169"/>
      <c r="Q601" s="169"/>
      <c r="R601" s="169"/>
      <c r="S601" s="169"/>
      <c r="T601" s="169"/>
      <c r="U601" s="169"/>
      <c r="V601" s="169"/>
      <c r="W601" s="169"/>
      <c r="X601" s="169"/>
      <c r="Y601" s="169"/>
      <c r="Z601" s="169"/>
      <c r="AA601" s="169"/>
      <c r="AB601" s="169"/>
      <c r="AC601" s="169"/>
      <c r="AD601" s="169"/>
      <c r="AE601" s="169"/>
      <c r="AF601" s="169"/>
      <c r="AG601" s="169"/>
      <c r="AH601" s="169"/>
    </row>
    <row r="602" ht="15.75" customHeight="1">
      <c r="A602" s="169"/>
      <c r="B602" s="38" t="s">
        <v>118</v>
      </c>
      <c r="C602" s="191" t="s">
        <v>3233</v>
      </c>
      <c r="D602" s="40" t="s">
        <v>812</v>
      </c>
      <c r="E602" s="40" t="s">
        <v>897</v>
      </c>
      <c r="F602" s="40" t="s">
        <v>623</v>
      </c>
      <c r="G602" s="39" t="s">
        <v>192</v>
      </c>
      <c r="H602" s="48" t="s">
        <v>4416</v>
      </c>
      <c r="I602" s="188">
        <v>45199.0</v>
      </c>
      <c r="J602" s="188">
        <v>45230.0</v>
      </c>
      <c r="K602" s="189">
        <v>201.0</v>
      </c>
      <c r="L602" s="206"/>
      <c r="M602" s="191" t="s">
        <v>2893</v>
      </c>
      <c r="N602" s="48"/>
      <c r="O602" s="169"/>
      <c r="P602" s="169"/>
      <c r="Q602" s="169"/>
      <c r="R602" s="169"/>
      <c r="S602" s="169"/>
      <c r="T602" s="169"/>
      <c r="U602" s="169"/>
      <c r="V602" s="169"/>
      <c r="W602" s="169"/>
      <c r="X602" s="169"/>
      <c r="Y602" s="169"/>
      <c r="Z602" s="169"/>
      <c r="AA602" s="169"/>
      <c r="AB602" s="169"/>
      <c r="AC602" s="169"/>
      <c r="AD602" s="169"/>
      <c r="AE602" s="169"/>
      <c r="AF602" s="169"/>
      <c r="AG602" s="169"/>
      <c r="AH602" s="169"/>
    </row>
    <row r="603" ht="15.75" customHeight="1">
      <c r="A603" s="169"/>
      <c r="B603" s="38" t="s">
        <v>118</v>
      </c>
      <c r="C603" s="191" t="s">
        <v>3236</v>
      </c>
      <c r="D603" s="40" t="s">
        <v>812</v>
      </c>
      <c r="E603" s="40" t="s">
        <v>897</v>
      </c>
      <c r="F603" s="40" t="s">
        <v>623</v>
      </c>
      <c r="G603" s="39" t="s">
        <v>192</v>
      </c>
      <c r="H603" s="48" t="s">
        <v>4417</v>
      </c>
      <c r="I603" s="188">
        <v>45199.0</v>
      </c>
      <c r="J603" s="188">
        <v>45230.0</v>
      </c>
      <c r="K603" s="189">
        <v>201.0</v>
      </c>
      <c r="L603" s="206"/>
      <c r="M603" s="191" t="s">
        <v>2893</v>
      </c>
      <c r="N603" s="48"/>
      <c r="O603" s="169"/>
      <c r="P603" s="169"/>
      <c r="Q603" s="169"/>
      <c r="R603" s="169"/>
      <c r="S603" s="169"/>
      <c r="T603" s="169"/>
      <c r="U603" s="169"/>
      <c r="V603" s="169"/>
      <c r="W603" s="169"/>
      <c r="X603" s="169"/>
      <c r="Y603" s="169"/>
      <c r="Z603" s="169"/>
      <c r="AA603" s="169"/>
      <c r="AB603" s="169"/>
      <c r="AC603" s="169"/>
      <c r="AD603" s="169"/>
      <c r="AE603" s="169"/>
      <c r="AF603" s="169"/>
      <c r="AG603" s="169"/>
      <c r="AH603" s="169"/>
    </row>
    <row r="604" ht="15.75" customHeight="1">
      <c r="A604" s="169"/>
      <c r="B604" s="38" t="s">
        <v>2579</v>
      </c>
      <c r="C604" s="191" t="s">
        <v>4418</v>
      </c>
      <c r="D604" s="40" t="s">
        <v>4419</v>
      </c>
      <c r="E604" s="40"/>
      <c r="F604" s="40"/>
      <c r="G604" s="39"/>
      <c r="H604" s="48" t="s">
        <v>4420</v>
      </c>
      <c r="I604" s="188">
        <v>45199.0</v>
      </c>
      <c r="J604" s="188">
        <v>45291.0</v>
      </c>
      <c r="K604" s="189">
        <v>4220.0</v>
      </c>
      <c r="L604" s="206"/>
      <c r="M604" s="191" t="s">
        <v>2580</v>
      </c>
      <c r="N604" s="48" t="s">
        <v>2582</v>
      </c>
      <c r="O604" s="169"/>
      <c r="P604" s="169"/>
      <c r="Q604" s="169"/>
      <c r="R604" s="169"/>
      <c r="S604" s="169"/>
      <c r="T604" s="169"/>
      <c r="U604" s="169"/>
      <c r="V604" s="169"/>
      <c r="W604" s="169"/>
      <c r="X604" s="169"/>
      <c r="Y604" s="169"/>
      <c r="Z604" s="169"/>
      <c r="AA604" s="169"/>
      <c r="AB604" s="169"/>
      <c r="AC604" s="169"/>
      <c r="AD604" s="169"/>
      <c r="AE604" s="169"/>
      <c r="AF604" s="169"/>
      <c r="AG604" s="169"/>
      <c r="AH604" s="169"/>
    </row>
    <row r="605" ht="15.75" customHeight="1">
      <c r="A605" s="169"/>
      <c r="B605" s="38" t="s">
        <v>4421</v>
      </c>
      <c r="C605" s="191" t="s">
        <v>4422</v>
      </c>
      <c r="D605" s="40" t="s">
        <v>4423</v>
      </c>
      <c r="E605" s="40"/>
      <c r="F605" s="40"/>
      <c r="G605" s="39"/>
      <c r="H605" s="48" t="s">
        <v>4424</v>
      </c>
      <c r="I605" s="188">
        <v>45199.0</v>
      </c>
      <c r="J605" s="188">
        <v>45291.0</v>
      </c>
      <c r="K605" s="189">
        <v>4647.0</v>
      </c>
      <c r="L605" s="206"/>
      <c r="M605" s="191" t="s">
        <v>2586</v>
      </c>
      <c r="N605" s="48" t="s">
        <v>2588</v>
      </c>
      <c r="O605" s="169"/>
      <c r="P605" s="169"/>
      <c r="Q605" s="169"/>
      <c r="R605" s="169"/>
      <c r="S605" s="169"/>
      <c r="T605" s="169"/>
      <c r="U605" s="169"/>
      <c r="V605" s="169"/>
      <c r="W605" s="169"/>
      <c r="X605" s="169"/>
      <c r="Y605" s="169"/>
      <c r="Z605" s="169"/>
      <c r="AA605" s="169"/>
      <c r="AB605" s="169"/>
      <c r="AC605" s="169"/>
      <c r="AD605" s="169"/>
      <c r="AE605" s="169"/>
      <c r="AF605" s="169"/>
      <c r="AG605" s="169"/>
      <c r="AH605" s="169"/>
    </row>
    <row r="606" ht="15.75" customHeight="1">
      <c r="A606" s="169"/>
      <c r="B606" s="38" t="s">
        <v>4421</v>
      </c>
      <c r="C606" s="191" t="s">
        <v>4425</v>
      </c>
      <c r="D606" s="40" t="s">
        <v>4423</v>
      </c>
      <c r="E606" s="40"/>
      <c r="F606" s="40"/>
      <c r="G606" s="39"/>
      <c r="H606" s="48" t="s">
        <v>4426</v>
      </c>
      <c r="I606" s="188">
        <v>45199.0</v>
      </c>
      <c r="J606" s="188">
        <v>45291.0</v>
      </c>
      <c r="K606" s="189">
        <v>4930.0</v>
      </c>
      <c r="L606" s="206"/>
      <c r="M606" s="191" t="s">
        <v>2589</v>
      </c>
      <c r="N606" s="48" t="s">
        <v>2591</v>
      </c>
      <c r="O606" s="169"/>
      <c r="P606" s="169"/>
      <c r="Q606" s="169"/>
      <c r="R606" s="169"/>
      <c r="S606" s="169"/>
      <c r="T606" s="169"/>
      <c r="U606" s="169"/>
      <c r="V606" s="169"/>
      <c r="W606" s="169"/>
      <c r="X606" s="169"/>
      <c r="Y606" s="169"/>
      <c r="Z606" s="169"/>
      <c r="AA606" s="169"/>
      <c r="AB606" s="169"/>
      <c r="AC606" s="169"/>
      <c r="AD606" s="169"/>
      <c r="AE606" s="169"/>
      <c r="AF606" s="169"/>
      <c r="AG606" s="169"/>
      <c r="AH606" s="169"/>
    </row>
    <row r="607" ht="15.75" customHeight="1">
      <c r="A607" s="169"/>
      <c r="B607" s="38" t="s">
        <v>4421</v>
      </c>
      <c r="C607" s="191" t="s">
        <v>4427</v>
      </c>
      <c r="D607" s="40" t="s">
        <v>4423</v>
      </c>
      <c r="E607" s="40"/>
      <c r="F607" s="40"/>
      <c r="G607" s="39"/>
      <c r="H607" s="48" t="s">
        <v>4428</v>
      </c>
      <c r="I607" s="188">
        <v>45199.0</v>
      </c>
      <c r="J607" s="188">
        <v>45291.0</v>
      </c>
      <c r="K607" s="189">
        <v>5639.0</v>
      </c>
      <c r="L607" s="206"/>
      <c r="M607" s="191" t="s">
        <v>2592</v>
      </c>
      <c r="N607" s="48" t="s">
        <v>2594</v>
      </c>
      <c r="O607" s="169"/>
      <c r="P607" s="169"/>
      <c r="Q607" s="169"/>
      <c r="R607" s="169"/>
      <c r="S607" s="169"/>
      <c r="T607" s="169"/>
      <c r="U607" s="169"/>
      <c r="V607" s="169"/>
      <c r="W607" s="169"/>
      <c r="X607" s="169"/>
      <c r="Y607" s="169"/>
      <c r="Z607" s="169"/>
      <c r="AA607" s="169"/>
      <c r="AB607" s="169"/>
      <c r="AC607" s="169"/>
      <c r="AD607" s="169"/>
      <c r="AE607" s="169"/>
      <c r="AF607" s="169"/>
      <c r="AG607" s="169"/>
      <c r="AH607" s="169"/>
    </row>
    <row r="608" ht="15.75" customHeight="1">
      <c r="A608" s="169"/>
      <c r="B608" s="38" t="s">
        <v>4421</v>
      </c>
      <c r="C608" s="191" t="s">
        <v>4429</v>
      </c>
      <c r="D608" s="40" t="s">
        <v>4423</v>
      </c>
      <c r="E608" s="40"/>
      <c r="F608" s="40"/>
      <c r="G608" s="39"/>
      <c r="H608" s="48" t="s">
        <v>4430</v>
      </c>
      <c r="I608" s="188">
        <v>45199.0</v>
      </c>
      <c r="J608" s="188">
        <v>45291.0</v>
      </c>
      <c r="K608" s="189">
        <v>6349.0</v>
      </c>
      <c r="L608" s="206"/>
      <c r="M608" s="191" t="s">
        <v>2595</v>
      </c>
      <c r="N608" s="48" t="s">
        <v>2597</v>
      </c>
      <c r="O608" s="169"/>
      <c r="P608" s="169"/>
      <c r="Q608" s="169"/>
      <c r="R608" s="169"/>
      <c r="S608" s="169"/>
      <c r="T608" s="169"/>
      <c r="U608" s="169"/>
      <c r="V608" s="169"/>
      <c r="W608" s="169"/>
      <c r="X608" s="169"/>
      <c r="Y608" s="169"/>
      <c r="Z608" s="169"/>
      <c r="AA608" s="169"/>
      <c r="AB608" s="169"/>
      <c r="AC608" s="169"/>
      <c r="AD608" s="169"/>
      <c r="AE608" s="169"/>
      <c r="AF608" s="169"/>
      <c r="AG608" s="169"/>
      <c r="AH608" s="169"/>
    </row>
    <row r="609" ht="15.75" customHeight="1">
      <c r="A609" s="169"/>
      <c r="B609" s="38" t="s">
        <v>4431</v>
      </c>
      <c r="C609" s="191" t="s">
        <v>4432</v>
      </c>
      <c r="D609" s="40" t="s">
        <v>4433</v>
      </c>
      <c r="E609" s="40"/>
      <c r="F609" s="40"/>
      <c r="G609" s="39"/>
      <c r="H609" s="48" t="s">
        <v>4434</v>
      </c>
      <c r="I609" s="188">
        <v>45199.0</v>
      </c>
      <c r="J609" s="188">
        <v>45260.0</v>
      </c>
      <c r="K609" s="189">
        <v>123.0</v>
      </c>
      <c r="L609" s="206"/>
      <c r="M609" s="191" t="s">
        <v>2893</v>
      </c>
      <c r="N609" s="48"/>
      <c r="O609" s="169"/>
      <c r="P609" s="169"/>
      <c r="Q609" s="169"/>
      <c r="R609" s="169"/>
      <c r="S609" s="169"/>
      <c r="T609" s="169"/>
      <c r="U609" s="169"/>
      <c r="V609" s="169"/>
      <c r="W609" s="169"/>
      <c r="X609" s="169"/>
      <c r="Y609" s="169"/>
      <c r="Z609" s="169"/>
      <c r="AA609" s="169"/>
      <c r="AB609" s="169"/>
      <c r="AC609" s="169"/>
      <c r="AD609" s="169"/>
      <c r="AE609" s="169"/>
      <c r="AF609" s="169"/>
      <c r="AG609" s="169"/>
      <c r="AH609" s="169"/>
    </row>
    <row r="610" ht="15.75" customHeight="1">
      <c r="A610" s="169"/>
      <c r="B610" s="38" t="s">
        <v>2579</v>
      </c>
      <c r="C610" s="191" t="s">
        <v>4435</v>
      </c>
      <c r="D610" s="40" t="s">
        <v>4436</v>
      </c>
      <c r="E610" s="40"/>
      <c r="F610" s="40"/>
      <c r="G610" s="39"/>
      <c r="H610" s="48" t="s">
        <v>4437</v>
      </c>
      <c r="I610" s="188">
        <v>45199.0</v>
      </c>
      <c r="J610" s="188">
        <v>45291.0</v>
      </c>
      <c r="K610" s="189">
        <v>5463.0</v>
      </c>
      <c r="L610" s="206"/>
      <c r="M610" s="191" t="s">
        <v>4438</v>
      </c>
      <c r="N610" s="48"/>
      <c r="O610" s="169"/>
      <c r="P610" s="169"/>
      <c r="Q610" s="169"/>
      <c r="R610" s="169"/>
      <c r="S610" s="169"/>
      <c r="T610" s="169"/>
      <c r="U610" s="169"/>
      <c r="V610" s="169"/>
      <c r="W610" s="169"/>
      <c r="X610" s="169"/>
      <c r="Y610" s="169"/>
      <c r="Z610" s="169"/>
      <c r="AA610" s="169"/>
      <c r="AB610" s="169"/>
      <c r="AC610" s="169"/>
      <c r="AD610" s="169"/>
      <c r="AE610" s="169"/>
      <c r="AF610" s="169"/>
      <c r="AG610" s="169"/>
      <c r="AH610" s="169"/>
    </row>
    <row r="611" ht="15.75" customHeight="1">
      <c r="A611" s="169"/>
      <c r="B611" s="38" t="s">
        <v>1256</v>
      </c>
      <c r="C611" s="191" t="s">
        <v>3121</v>
      </c>
      <c r="D611" s="40" t="s">
        <v>3183</v>
      </c>
      <c r="E611" s="40"/>
      <c r="F611" s="40"/>
      <c r="G611" s="39"/>
      <c r="H611" s="48" t="s">
        <v>3122</v>
      </c>
      <c r="I611" s="188">
        <v>45230.0</v>
      </c>
      <c r="J611" s="188">
        <v>45230.0</v>
      </c>
      <c r="K611" s="189">
        <v>450.0</v>
      </c>
      <c r="L611" s="206"/>
      <c r="M611" s="191" t="s">
        <v>1298</v>
      </c>
      <c r="N611" s="48" t="s">
        <v>1300</v>
      </c>
      <c r="O611" s="169"/>
      <c r="P611" s="169"/>
      <c r="Q611" s="169"/>
      <c r="R611" s="169"/>
      <c r="S611" s="169"/>
      <c r="T611" s="169"/>
      <c r="U611" s="169"/>
      <c r="V611" s="169"/>
      <c r="W611" s="169"/>
      <c r="X611" s="169"/>
      <c r="Y611" s="169"/>
      <c r="Z611" s="169"/>
      <c r="AA611" s="169"/>
      <c r="AB611" s="169"/>
      <c r="AC611" s="169"/>
      <c r="AD611" s="169"/>
      <c r="AE611" s="169"/>
      <c r="AF611" s="169"/>
      <c r="AG611" s="169"/>
      <c r="AH611" s="169"/>
    </row>
    <row r="612" ht="15.75" customHeight="1">
      <c r="A612" s="169"/>
      <c r="B612" s="38" t="s">
        <v>23</v>
      </c>
      <c r="C612" s="191" t="s">
        <v>4439</v>
      </c>
      <c r="D612" s="40" t="s">
        <v>1837</v>
      </c>
      <c r="E612" s="40"/>
      <c r="F612" s="40"/>
      <c r="G612" s="39"/>
      <c r="H612" s="48" t="s">
        <v>4440</v>
      </c>
      <c r="I612" s="188">
        <v>45230.0</v>
      </c>
      <c r="J612" s="188">
        <v>45291.0</v>
      </c>
      <c r="K612" s="189">
        <v>36.0</v>
      </c>
      <c r="L612" s="206"/>
      <c r="M612" s="191" t="s">
        <v>1913</v>
      </c>
      <c r="N612" s="48" t="s">
        <v>1914</v>
      </c>
      <c r="O612" s="169"/>
      <c r="P612" s="169"/>
      <c r="Q612" s="169"/>
      <c r="R612" s="169"/>
      <c r="S612" s="169"/>
      <c r="T612" s="169"/>
      <c r="U612" s="169"/>
      <c r="V612" s="169"/>
      <c r="W612" s="169"/>
      <c r="X612" s="169"/>
      <c r="Y612" s="169"/>
      <c r="Z612" s="169"/>
      <c r="AA612" s="169"/>
      <c r="AB612" s="169"/>
      <c r="AC612" s="169"/>
      <c r="AD612" s="169"/>
      <c r="AE612" s="169"/>
      <c r="AF612" s="169"/>
      <c r="AG612" s="169"/>
      <c r="AH612" s="169"/>
    </row>
    <row r="613" ht="15.75" customHeight="1">
      <c r="A613" s="169"/>
      <c r="B613" s="38" t="s">
        <v>23</v>
      </c>
      <c r="C613" s="191" t="s">
        <v>4441</v>
      </c>
      <c r="D613" s="40" t="s">
        <v>4442</v>
      </c>
      <c r="E613" s="40"/>
      <c r="F613" s="40"/>
      <c r="G613" s="39"/>
      <c r="H613" s="48" t="s">
        <v>4443</v>
      </c>
      <c r="I613" s="188">
        <v>45230.0</v>
      </c>
      <c r="J613" s="188">
        <v>45260.0</v>
      </c>
      <c r="K613" s="189">
        <v>2374.0</v>
      </c>
      <c r="L613" s="206"/>
      <c r="M613" s="191" t="s">
        <v>2893</v>
      </c>
      <c r="N613" s="48"/>
      <c r="O613" s="169"/>
      <c r="P613" s="169"/>
      <c r="Q613" s="169"/>
      <c r="R613" s="169"/>
      <c r="S613" s="169"/>
      <c r="T613" s="169"/>
      <c r="U613" s="169"/>
      <c r="V613" s="169"/>
      <c r="W613" s="169"/>
      <c r="X613" s="169"/>
      <c r="Y613" s="169"/>
      <c r="Z613" s="169"/>
      <c r="AA613" s="169"/>
      <c r="AB613" s="169"/>
      <c r="AC613" s="169"/>
      <c r="AD613" s="169"/>
      <c r="AE613" s="169"/>
      <c r="AF613" s="169"/>
      <c r="AG613" s="169"/>
      <c r="AH613" s="169"/>
    </row>
    <row r="614" ht="15.75" customHeight="1">
      <c r="A614" s="169"/>
      <c r="B614" s="38" t="s">
        <v>2620</v>
      </c>
      <c r="C614" s="191" t="s">
        <v>4444</v>
      </c>
      <c r="D614" s="40" t="s">
        <v>2672</v>
      </c>
      <c r="E614" s="40"/>
      <c r="F614" s="40"/>
      <c r="G614" s="39"/>
      <c r="H614" s="48" t="s">
        <v>4445</v>
      </c>
      <c r="I614" s="188">
        <v>45260.0</v>
      </c>
      <c r="J614" s="188">
        <v>45260.0</v>
      </c>
      <c r="K614" s="189">
        <v>123.0</v>
      </c>
      <c r="L614" s="206"/>
      <c r="M614" s="191" t="s">
        <v>4446</v>
      </c>
      <c r="N614" s="48" t="s">
        <v>4447</v>
      </c>
      <c r="O614" s="169"/>
      <c r="P614" s="169"/>
      <c r="Q614" s="169"/>
      <c r="R614" s="169"/>
      <c r="S614" s="169"/>
      <c r="T614" s="169"/>
      <c r="U614" s="169"/>
      <c r="V614" s="169"/>
      <c r="W614" s="169"/>
      <c r="X614" s="169"/>
      <c r="Y614" s="169"/>
      <c r="Z614" s="169"/>
      <c r="AA614" s="169"/>
      <c r="AB614" s="169"/>
      <c r="AC614" s="169"/>
      <c r="AD614" s="169"/>
      <c r="AE614" s="169"/>
      <c r="AF614" s="169"/>
      <c r="AG614" s="169"/>
      <c r="AH614" s="169"/>
    </row>
    <row r="615" ht="15.75" customHeight="1">
      <c r="A615" s="169"/>
      <c r="B615" s="38" t="s">
        <v>2020</v>
      </c>
      <c r="C615" s="191" t="s">
        <v>4111</v>
      </c>
      <c r="D615" s="40" t="s">
        <v>2478</v>
      </c>
      <c r="E615" s="40"/>
      <c r="F615" s="40"/>
      <c r="G615" s="39" t="s">
        <v>2020</v>
      </c>
      <c r="H615" s="48" t="s">
        <v>2480</v>
      </c>
      <c r="I615" s="188">
        <v>45260.0</v>
      </c>
      <c r="J615" s="188">
        <v>45260.0</v>
      </c>
      <c r="K615" s="189">
        <v>1051.0</v>
      </c>
      <c r="L615" s="206"/>
      <c r="M615" s="191" t="s">
        <v>4448</v>
      </c>
      <c r="N615" s="48" t="s">
        <v>2485</v>
      </c>
      <c r="O615" s="169"/>
      <c r="P615" s="169"/>
      <c r="Q615" s="169"/>
      <c r="R615" s="169"/>
      <c r="S615" s="169"/>
      <c r="T615" s="169"/>
      <c r="U615" s="169"/>
      <c r="V615" s="169"/>
      <c r="W615" s="169"/>
      <c r="X615" s="169"/>
      <c r="Y615" s="169"/>
      <c r="Z615" s="169"/>
      <c r="AA615" s="169"/>
      <c r="AB615" s="169"/>
      <c r="AC615" s="169"/>
      <c r="AD615" s="169"/>
      <c r="AE615" s="169"/>
      <c r="AF615" s="169"/>
      <c r="AG615" s="169"/>
      <c r="AH615" s="169"/>
    </row>
    <row r="616" ht="15.75" customHeight="1">
      <c r="A616" s="169"/>
      <c r="B616" s="38" t="s">
        <v>2020</v>
      </c>
      <c r="C616" s="191" t="s">
        <v>4449</v>
      </c>
      <c r="D616" s="40" t="s">
        <v>4450</v>
      </c>
      <c r="E616" s="40"/>
      <c r="F616" s="40"/>
      <c r="G616" s="39"/>
      <c r="H616" s="48" t="s">
        <v>4451</v>
      </c>
      <c r="I616" s="188">
        <v>45260.0</v>
      </c>
      <c r="J616" s="188">
        <v>45260.0</v>
      </c>
      <c r="K616" s="189">
        <v>1810.0</v>
      </c>
      <c r="L616" s="206"/>
      <c r="M616" s="191" t="s">
        <v>2486</v>
      </c>
      <c r="N616" s="48" t="s">
        <v>2489</v>
      </c>
      <c r="O616" s="169"/>
      <c r="P616" s="169"/>
      <c r="Q616" s="169"/>
      <c r="R616" s="169"/>
      <c r="S616" s="169"/>
      <c r="T616" s="169"/>
      <c r="U616" s="169"/>
      <c r="V616" s="169"/>
      <c r="W616" s="169"/>
      <c r="X616" s="169"/>
      <c r="Y616" s="169"/>
      <c r="Z616" s="169"/>
      <c r="AA616" s="169"/>
      <c r="AB616" s="169"/>
      <c r="AC616" s="169"/>
      <c r="AD616" s="169"/>
      <c r="AE616" s="169"/>
      <c r="AF616" s="169"/>
      <c r="AG616" s="169"/>
      <c r="AH616" s="169"/>
    </row>
    <row r="617" ht="15.75" customHeight="1">
      <c r="A617" s="169"/>
      <c r="B617" s="38" t="s">
        <v>2020</v>
      </c>
      <c r="C617" s="191" t="s">
        <v>4452</v>
      </c>
      <c r="D617" s="40" t="s">
        <v>4453</v>
      </c>
      <c r="E617" s="40"/>
      <c r="F617" s="40"/>
      <c r="G617" s="39"/>
      <c r="H617" s="48" t="s">
        <v>4454</v>
      </c>
      <c r="I617" s="188">
        <v>45260.0</v>
      </c>
      <c r="J617" s="188">
        <v>45260.0</v>
      </c>
      <c r="K617" s="189">
        <v>2340.0</v>
      </c>
      <c r="L617" s="206"/>
      <c r="M617" s="191" t="s">
        <v>2490</v>
      </c>
      <c r="N617" s="48" t="s">
        <v>2493</v>
      </c>
      <c r="O617" s="169"/>
      <c r="P617" s="169"/>
      <c r="Q617" s="169"/>
      <c r="R617" s="169"/>
      <c r="S617" s="169"/>
      <c r="T617" s="169"/>
      <c r="U617" s="169"/>
      <c r="V617" s="169"/>
      <c r="W617" s="169"/>
      <c r="X617" s="169"/>
      <c r="Y617" s="169"/>
      <c r="Z617" s="169"/>
      <c r="AA617" s="169"/>
      <c r="AB617" s="169"/>
      <c r="AC617" s="169"/>
      <c r="AD617" s="169"/>
      <c r="AE617" s="169"/>
      <c r="AF617" s="169"/>
      <c r="AG617" s="169"/>
      <c r="AH617" s="169"/>
    </row>
    <row r="618" ht="15.75" customHeight="1">
      <c r="A618" s="169"/>
      <c r="B618" s="38" t="s">
        <v>2020</v>
      </c>
      <c r="C618" s="191" t="s">
        <v>4455</v>
      </c>
      <c r="D618" s="40" t="s">
        <v>4456</v>
      </c>
      <c r="E618" s="40"/>
      <c r="F618" s="40"/>
      <c r="G618" s="39"/>
      <c r="H618" s="48" t="s">
        <v>4457</v>
      </c>
      <c r="I618" s="188">
        <v>45260.0</v>
      </c>
      <c r="J618" s="188">
        <v>45260.0</v>
      </c>
      <c r="K618" s="189">
        <v>2630.0</v>
      </c>
      <c r="L618" s="206"/>
      <c r="M618" s="191" t="s">
        <v>2494</v>
      </c>
      <c r="N618" s="48" t="s">
        <v>2497</v>
      </c>
      <c r="O618" s="169"/>
      <c r="P618" s="169"/>
      <c r="Q618" s="169"/>
      <c r="R618" s="169"/>
      <c r="S618" s="169"/>
      <c r="T618" s="169"/>
      <c r="U618" s="169"/>
      <c r="V618" s="169"/>
      <c r="W618" s="169"/>
      <c r="X618" s="169"/>
      <c r="Y618" s="169"/>
      <c r="Z618" s="169"/>
      <c r="AA618" s="169"/>
      <c r="AB618" s="169"/>
      <c r="AC618" s="169"/>
      <c r="AD618" s="169"/>
      <c r="AE618" s="169"/>
      <c r="AF618" s="169"/>
      <c r="AG618" s="169"/>
      <c r="AH618" s="169"/>
    </row>
    <row r="619" ht="15.75" customHeight="1">
      <c r="A619" s="169"/>
      <c r="B619" s="38" t="s">
        <v>2020</v>
      </c>
      <c r="C619" s="191" t="s">
        <v>4458</v>
      </c>
      <c r="D619" s="40" t="s">
        <v>4459</v>
      </c>
      <c r="E619" s="40"/>
      <c r="F619" s="40"/>
      <c r="G619" s="39"/>
      <c r="H619" s="48" t="s">
        <v>4460</v>
      </c>
      <c r="I619" s="188">
        <v>45260.0</v>
      </c>
      <c r="J619" s="188">
        <v>45260.0</v>
      </c>
      <c r="K619" s="189">
        <v>4030.0</v>
      </c>
      <c r="L619" s="206"/>
      <c r="M619" s="191" t="s">
        <v>2498</v>
      </c>
      <c r="N619" s="48" t="s">
        <v>2501</v>
      </c>
      <c r="O619" s="169"/>
      <c r="P619" s="169"/>
      <c r="Q619" s="169"/>
      <c r="R619" s="169"/>
      <c r="S619" s="169"/>
      <c r="T619" s="169"/>
      <c r="U619" s="169"/>
      <c r="V619" s="169"/>
      <c r="W619" s="169"/>
      <c r="X619" s="169"/>
      <c r="Y619" s="169"/>
      <c r="Z619" s="169"/>
      <c r="AA619" s="169"/>
      <c r="AB619" s="169"/>
      <c r="AC619" s="169"/>
      <c r="AD619" s="169"/>
      <c r="AE619" s="169"/>
      <c r="AF619" s="169"/>
      <c r="AG619" s="169"/>
      <c r="AH619" s="169"/>
    </row>
    <row r="620" ht="15.75" customHeight="1">
      <c r="A620" s="169"/>
      <c r="B620" s="38" t="s">
        <v>2020</v>
      </c>
      <c r="C620" s="191" t="s">
        <v>4461</v>
      </c>
      <c r="D620" s="40" t="s">
        <v>4462</v>
      </c>
      <c r="E620" s="40"/>
      <c r="F620" s="40"/>
      <c r="G620" s="39"/>
      <c r="H620" s="48" t="s">
        <v>4463</v>
      </c>
      <c r="I620" s="188">
        <v>45260.0</v>
      </c>
      <c r="J620" s="188">
        <v>45351.0</v>
      </c>
      <c r="K620" s="189">
        <v>2070.0</v>
      </c>
      <c r="L620" s="206"/>
      <c r="M620" s="191" t="s">
        <v>2021</v>
      </c>
      <c r="N620" s="48" t="s">
        <v>4464</v>
      </c>
      <c r="O620" s="169"/>
      <c r="P620" s="169"/>
      <c r="Q620" s="169"/>
      <c r="R620" s="169"/>
      <c r="S620" s="169"/>
      <c r="T620" s="169"/>
      <c r="U620" s="169"/>
      <c r="V620" s="169"/>
      <c r="W620" s="169"/>
      <c r="X620" s="169"/>
      <c r="Y620" s="169"/>
      <c r="Z620" s="169"/>
      <c r="AA620" s="169"/>
      <c r="AB620" s="169"/>
      <c r="AC620" s="169"/>
      <c r="AD620" s="169"/>
      <c r="AE620" s="169"/>
      <c r="AF620" s="169"/>
      <c r="AG620" s="169"/>
      <c r="AH620" s="169"/>
    </row>
    <row r="621" ht="15.75" customHeight="1">
      <c r="A621" s="169"/>
      <c r="B621" s="38" t="s">
        <v>2020</v>
      </c>
      <c r="C621" s="191" t="s">
        <v>4465</v>
      </c>
      <c r="D621" s="40" t="s">
        <v>4466</v>
      </c>
      <c r="E621" s="40"/>
      <c r="F621" s="40"/>
      <c r="G621" s="39"/>
      <c r="H621" s="48" t="s">
        <v>4467</v>
      </c>
      <c r="I621" s="188">
        <v>45260.0</v>
      </c>
      <c r="J621" s="188">
        <v>45442.0</v>
      </c>
      <c r="K621" s="189">
        <v>1910.0</v>
      </c>
      <c r="L621" s="206"/>
      <c r="M621" s="191" t="s">
        <v>2028</v>
      </c>
      <c r="N621" s="48" t="s">
        <v>4468</v>
      </c>
      <c r="O621" s="169"/>
      <c r="P621" s="169"/>
      <c r="Q621" s="169"/>
      <c r="R621" s="169"/>
      <c r="S621" s="169"/>
      <c r="T621" s="169"/>
      <c r="U621" s="169"/>
      <c r="V621" s="169"/>
      <c r="W621" s="169"/>
      <c r="X621" s="169"/>
      <c r="Y621" s="169"/>
      <c r="Z621" s="169"/>
      <c r="AA621" s="169"/>
      <c r="AB621" s="169"/>
      <c r="AC621" s="169"/>
      <c r="AD621" s="169"/>
      <c r="AE621" s="169"/>
      <c r="AF621" s="169"/>
      <c r="AG621" s="169"/>
      <c r="AH621" s="169"/>
    </row>
    <row r="622" ht="15.75" customHeight="1">
      <c r="A622" s="169"/>
      <c r="B622" s="38" t="s">
        <v>76</v>
      </c>
      <c r="C622" s="191" t="s">
        <v>4469</v>
      </c>
      <c r="D622" s="40" t="s">
        <v>4470</v>
      </c>
      <c r="E622" s="40"/>
      <c r="F622" s="40"/>
      <c r="G622" s="39"/>
      <c r="H622" s="48" t="s">
        <v>4471</v>
      </c>
      <c r="I622" s="188">
        <v>45291.0</v>
      </c>
      <c r="J622" s="188">
        <v>45265.0</v>
      </c>
      <c r="K622" s="189">
        <v>333.0</v>
      </c>
      <c r="L622" s="206"/>
      <c r="M622" s="191" t="s">
        <v>89</v>
      </c>
      <c r="N622" s="48" t="s">
        <v>91</v>
      </c>
      <c r="O622" s="169"/>
      <c r="P622" s="169"/>
      <c r="Q622" s="169"/>
      <c r="R622" s="169"/>
      <c r="S622" s="169"/>
      <c r="T622" s="169"/>
      <c r="U622" s="169"/>
      <c r="V622" s="169"/>
      <c r="W622" s="169"/>
      <c r="X622" s="169"/>
      <c r="Y622" s="169"/>
      <c r="Z622" s="169"/>
      <c r="AA622" s="169"/>
      <c r="AB622" s="169"/>
      <c r="AC622" s="169"/>
      <c r="AD622" s="169"/>
      <c r="AE622" s="169"/>
      <c r="AF622" s="169"/>
      <c r="AG622" s="169"/>
      <c r="AH622" s="169"/>
    </row>
    <row r="623" ht="15.75" customHeight="1">
      <c r="A623" s="169"/>
      <c r="B623" s="38" t="s">
        <v>2119</v>
      </c>
      <c r="C623" s="191" t="s">
        <v>4472</v>
      </c>
      <c r="D623" s="40" t="s">
        <v>4473</v>
      </c>
      <c r="E623" s="40"/>
      <c r="F623" s="40"/>
      <c r="G623" s="39"/>
      <c r="H623" s="48" t="s">
        <v>4474</v>
      </c>
      <c r="I623" s="188">
        <v>45291.0</v>
      </c>
      <c r="J623" s="188">
        <v>45382.0</v>
      </c>
      <c r="K623" s="189">
        <v>796.0</v>
      </c>
      <c r="L623" s="206"/>
      <c r="M623" s="191" t="s">
        <v>2893</v>
      </c>
      <c r="N623" s="48"/>
      <c r="O623" s="169"/>
      <c r="P623" s="169"/>
      <c r="Q623" s="169"/>
      <c r="R623" s="169"/>
      <c r="S623" s="169"/>
      <c r="T623" s="169"/>
      <c r="U623" s="169"/>
      <c r="V623" s="169"/>
      <c r="W623" s="169"/>
      <c r="X623" s="169"/>
      <c r="Y623" s="169"/>
      <c r="Z623" s="169"/>
      <c r="AA623" s="169"/>
      <c r="AB623" s="169"/>
      <c r="AC623" s="169"/>
      <c r="AD623" s="169"/>
      <c r="AE623" s="169"/>
      <c r="AF623" s="169"/>
      <c r="AG623" s="169"/>
      <c r="AH623" s="169"/>
    </row>
    <row r="624" ht="15.75" customHeight="1">
      <c r="A624" s="169"/>
      <c r="B624" s="38" t="s">
        <v>2119</v>
      </c>
      <c r="C624" s="191" t="s">
        <v>4475</v>
      </c>
      <c r="D624" s="40" t="s">
        <v>4476</v>
      </c>
      <c r="E624" s="40"/>
      <c r="F624" s="40"/>
      <c r="G624" s="39"/>
      <c r="H624" s="48" t="s">
        <v>4477</v>
      </c>
      <c r="I624" s="188">
        <v>45291.0</v>
      </c>
      <c r="J624" s="188">
        <v>45382.0</v>
      </c>
      <c r="K624" s="189">
        <v>1592.0</v>
      </c>
      <c r="L624" s="206"/>
      <c r="M624" s="191" t="s">
        <v>2893</v>
      </c>
      <c r="N624" s="48"/>
      <c r="O624" s="169"/>
      <c r="P624" s="169"/>
      <c r="Q624" s="169"/>
      <c r="R624" s="169"/>
      <c r="S624" s="169"/>
      <c r="T624" s="169"/>
      <c r="U624" s="169"/>
      <c r="V624" s="169"/>
      <c r="W624" s="169"/>
      <c r="X624" s="169"/>
      <c r="Y624" s="169"/>
      <c r="Z624" s="169"/>
      <c r="AA624" s="169"/>
      <c r="AB624" s="169"/>
      <c r="AC624" s="169"/>
      <c r="AD624" s="169"/>
      <c r="AE624" s="169"/>
      <c r="AF624" s="169"/>
      <c r="AG624" s="169"/>
      <c r="AH624" s="169"/>
    </row>
    <row r="625" ht="15.75" customHeight="1">
      <c r="A625" s="169"/>
      <c r="B625" s="38" t="s">
        <v>76</v>
      </c>
      <c r="C625" s="191" t="s">
        <v>4478</v>
      </c>
      <c r="D625" s="40" t="s">
        <v>4479</v>
      </c>
      <c r="E625" s="40"/>
      <c r="F625" s="40"/>
      <c r="G625" s="39"/>
      <c r="H625" s="48" t="s">
        <v>4480</v>
      </c>
      <c r="I625" s="188">
        <v>45291.0</v>
      </c>
      <c r="J625" s="188">
        <v>45265.0</v>
      </c>
      <c r="K625" s="189">
        <v>525.0</v>
      </c>
      <c r="L625" s="206"/>
      <c r="M625" s="191" t="s">
        <v>2429</v>
      </c>
      <c r="N625" s="48" t="s">
        <v>2431</v>
      </c>
      <c r="O625" s="169"/>
      <c r="P625" s="169"/>
      <c r="Q625" s="169"/>
      <c r="R625" s="169"/>
      <c r="S625" s="169"/>
      <c r="T625" s="169"/>
      <c r="U625" s="169"/>
      <c r="V625" s="169"/>
      <c r="W625" s="169"/>
      <c r="X625" s="169"/>
      <c r="Y625" s="169"/>
      <c r="Z625" s="169"/>
      <c r="AA625" s="169"/>
      <c r="AB625" s="169"/>
      <c r="AC625" s="169"/>
      <c r="AD625" s="169"/>
      <c r="AE625" s="169"/>
      <c r="AF625" s="169"/>
      <c r="AG625" s="169"/>
      <c r="AH625" s="169"/>
    </row>
    <row r="626" ht="15.75" customHeight="1">
      <c r="A626" s="169"/>
      <c r="B626" s="38" t="s">
        <v>76</v>
      </c>
      <c r="C626" s="191" t="s">
        <v>4481</v>
      </c>
      <c r="D626" s="40" t="s">
        <v>4482</v>
      </c>
      <c r="E626" s="40"/>
      <c r="F626" s="40"/>
      <c r="G626" s="39"/>
      <c r="H626" s="48" t="s">
        <v>4483</v>
      </c>
      <c r="I626" s="188">
        <v>45291.0</v>
      </c>
      <c r="J626" s="188">
        <v>45265.0</v>
      </c>
      <c r="K626" s="189">
        <v>417.0</v>
      </c>
      <c r="L626" s="206"/>
      <c r="M626" s="191" t="s">
        <v>2426</v>
      </c>
      <c r="N626" s="48" t="s">
        <v>2428</v>
      </c>
      <c r="O626" s="169"/>
      <c r="P626" s="169"/>
      <c r="Q626" s="169"/>
      <c r="R626" s="169"/>
      <c r="S626" s="169"/>
      <c r="T626" s="169"/>
      <c r="U626" s="169"/>
      <c r="V626" s="169"/>
      <c r="W626" s="169"/>
      <c r="X626" s="169"/>
      <c r="Y626" s="169"/>
      <c r="Z626" s="169"/>
      <c r="AA626" s="169"/>
      <c r="AB626" s="169"/>
      <c r="AC626" s="169"/>
      <c r="AD626" s="169"/>
      <c r="AE626" s="169"/>
      <c r="AF626" s="169"/>
      <c r="AG626" s="169"/>
      <c r="AH626" s="169"/>
    </row>
    <row r="627" ht="15.75" customHeight="1">
      <c r="A627" s="169"/>
      <c r="B627" s="38" t="s">
        <v>23</v>
      </c>
      <c r="C627" s="191" t="s">
        <v>4484</v>
      </c>
      <c r="D627" s="38" t="s">
        <v>1676</v>
      </c>
      <c r="E627" s="38"/>
      <c r="F627" s="38"/>
      <c r="G627" s="38"/>
      <c r="H627" s="48" t="s">
        <v>4485</v>
      </c>
      <c r="I627" s="188">
        <v>45291.0</v>
      </c>
      <c r="J627" s="188">
        <v>45382.0</v>
      </c>
      <c r="K627" s="189">
        <v>48.0</v>
      </c>
      <c r="L627" s="206"/>
      <c r="M627" s="191" t="s">
        <v>1678</v>
      </c>
      <c r="N627" s="48" t="s">
        <v>1680</v>
      </c>
      <c r="O627" s="169"/>
      <c r="P627" s="169"/>
      <c r="Q627" s="169"/>
      <c r="R627" s="169"/>
      <c r="S627" s="169"/>
      <c r="T627" s="169"/>
      <c r="U627" s="169"/>
      <c r="V627" s="169"/>
      <c r="W627" s="169"/>
      <c r="X627" s="169"/>
      <c r="Y627" s="169"/>
      <c r="Z627" s="169"/>
      <c r="AA627" s="169"/>
      <c r="AB627" s="169"/>
      <c r="AC627" s="169"/>
      <c r="AD627" s="169"/>
      <c r="AE627" s="169"/>
      <c r="AF627" s="169"/>
      <c r="AG627" s="169"/>
      <c r="AH627" s="169"/>
    </row>
    <row r="628" ht="15.75" customHeight="1">
      <c r="A628" s="169"/>
      <c r="B628" s="38" t="s">
        <v>23</v>
      </c>
      <c r="C628" s="191" t="s">
        <v>4486</v>
      </c>
      <c r="D628" s="38" t="s">
        <v>1532</v>
      </c>
      <c r="E628" s="38"/>
      <c r="F628" s="38"/>
      <c r="G628" s="38"/>
      <c r="H628" s="48" t="s">
        <v>4487</v>
      </c>
      <c r="I628" s="188">
        <v>45291.0</v>
      </c>
      <c r="J628" s="188">
        <v>45412.0</v>
      </c>
      <c r="K628" s="189">
        <v>28.0</v>
      </c>
      <c r="L628" s="206"/>
      <c r="M628" s="191" t="s">
        <v>1560</v>
      </c>
      <c r="N628" s="48" t="s">
        <v>1561</v>
      </c>
      <c r="O628" s="169"/>
      <c r="P628" s="169"/>
      <c r="Q628" s="169"/>
      <c r="R628" s="169"/>
      <c r="S628" s="169"/>
      <c r="T628" s="169"/>
      <c r="U628" s="169"/>
      <c r="V628" s="169"/>
      <c r="W628" s="169"/>
      <c r="X628" s="169"/>
      <c r="Y628" s="169"/>
      <c r="Z628" s="169"/>
      <c r="AA628" s="169"/>
      <c r="AB628" s="169"/>
      <c r="AC628" s="169"/>
      <c r="AD628" s="169"/>
      <c r="AE628" s="169"/>
      <c r="AF628" s="169"/>
      <c r="AG628" s="169"/>
      <c r="AH628" s="169"/>
    </row>
    <row r="629" ht="15.75" customHeight="1">
      <c r="A629" s="169"/>
      <c r="B629" s="38" t="s">
        <v>23</v>
      </c>
      <c r="C629" s="191" t="s">
        <v>4488</v>
      </c>
      <c r="D629" s="38" t="s">
        <v>1413</v>
      </c>
      <c r="E629" s="38"/>
      <c r="F629" s="38"/>
      <c r="G629" s="38"/>
      <c r="H629" s="48" t="s">
        <v>4489</v>
      </c>
      <c r="I629" s="188">
        <v>45291.0</v>
      </c>
      <c r="J629" s="188">
        <v>45322.0</v>
      </c>
      <c r="K629" s="189">
        <v>48.0</v>
      </c>
      <c r="L629" s="206"/>
      <c r="M629" s="191" t="s">
        <v>1428</v>
      </c>
      <c r="N629" s="48" t="s">
        <v>1429</v>
      </c>
      <c r="O629" s="169"/>
      <c r="P629" s="169"/>
      <c r="Q629" s="169"/>
      <c r="R629" s="169"/>
      <c r="S629" s="169"/>
      <c r="T629" s="169"/>
      <c r="U629" s="169"/>
      <c r="V629" s="169"/>
      <c r="W629" s="169"/>
      <c r="X629" s="169"/>
      <c r="Y629" s="169"/>
      <c r="Z629" s="169"/>
      <c r="AA629" s="169"/>
      <c r="AB629" s="169"/>
      <c r="AC629" s="169"/>
      <c r="AD629" s="169"/>
      <c r="AE629" s="169"/>
      <c r="AF629" s="169"/>
      <c r="AG629" s="169"/>
      <c r="AH629" s="169"/>
    </row>
    <row r="630" ht="15.75" customHeight="1">
      <c r="A630" s="169"/>
      <c r="B630" s="38" t="s">
        <v>23</v>
      </c>
      <c r="C630" s="191" t="s">
        <v>4490</v>
      </c>
      <c r="D630" s="38" t="s">
        <v>4491</v>
      </c>
      <c r="E630" s="38"/>
      <c r="F630" s="38"/>
      <c r="G630" s="38"/>
      <c r="H630" s="48" t="s">
        <v>4492</v>
      </c>
      <c r="I630" s="188">
        <v>45291.0</v>
      </c>
      <c r="J630" s="188">
        <v>45688.0</v>
      </c>
      <c r="K630" s="189">
        <v>299.0</v>
      </c>
      <c r="L630" s="206"/>
      <c r="M630" s="191" t="s">
        <v>2893</v>
      </c>
      <c r="N630" s="48"/>
      <c r="O630" s="169"/>
      <c r="P630" s="169"/>
      <c r="Q630" s="169"/>
      <c r="R630" s="169"/>
      <c r="S630" s="169"/>
      <c r="T630" s="169"/>
      <c r="U630" s="169"/>
      <c r="V630" s="169"/>
      <c r="W630" s="169"/>
      <c r="X630" s="169"/>
      <c r="Y630" s="169"/>
      <c r="Z630" s="169"/>
      <c r="AA630" s="169"/>
      <c r="AB630" s="169"/>
      <c r="AC630" s="169"/>
      <c r="AD630" s="169"/>
      <c r="AE630" s="169"/>
      <c r="AF630" s="169"/>
      <c r="AG630" s="169"/>
      <c r="AH630" s="169"/>
    </row>
    <row r="631" ht="15.75" customHeight="1">
      <c r="A631" s="169"/>
      <c r="B631" s="38" t="s">
        <v>2070</v>
      </c>
      <c r="C631" s="191" t="s">
        <v>2074</v>
      </c>
      <c r="D631" s="38" t="s">
        <v>2072</v>
      </c>
      <c r="E631" s="38"/>
      <c r="F631" s="38"/>
      <c r="G631" s="38"/>
      <c r="H631" s="48" t="s">
        <v>2075</v>
      </c>
      <c r="I631" s="188">
        <v>45352.0</v>
      </c>
      <c r="J631" s="205">
        <f>I631+65</f>
        <v>45417</v>
      </c>
      <c r="K631" s="189">
        <v>1300.0</v>
      </c>
      <c r="L631" s="206"/>
      <c r="M631" s="191" t="s">
        <v>2893</v>
      </c>
      <c r="N631" s="48"/>
      <c r="O631" s="169"/>
      <c r="P631" s="169"/>
      <c r="Q631" s="169"/>
      <c r="R631" s="169"/>
      <c r="S631" s="169"/>
      <c r="T631" s="169"/>
      <c r="U631" s="169"/>
      <c r="V631" s="169"/>
      <c r="W631" s="169"/>
      <c r="X631" s="169"/>
      <c r="Y631" s="169"/>
      <c r="Z631" s="169"/>
      <c r="AA631" s="169"/>
      <c r="AB631" s="169"/>
      <c r="AC631" s="169"/>
      <c r="AD631" s="169"/>
      <c r="AE631" s="169"/>
      <c r="AF631" s="169"/>
      <c r="AG631" s="169"/>
      <c r="AH631" s="169"/>
    </row>
    <row r="632" ht="15.75" customHeight="1">
      <c r="A632" s="169"/>
      <c r="B632" s="38" t="s">
        <v>2222</v>
      </c>
      <c r="C632" s="191" t="s">
        <v>4493</v>
      </c>
      <c r="D632" s="40" t="s">
        <v>4494</v>
      </c>
      <c r="E632" s="38"/>
      <c r="F632" s="38"/>
      <c r="G632" s="38"/>
      <c r="H632" s="48" t="s">
        <v>4495</v>
      </c>
      <c r="I632" s="188">
        <v>45352.0</v>
      </c>
      <c r="J632" s="188">
        <v>45352.0</v>
      </c>
      <c r="K632" s="189">
        <v>2182.0</v>
      </c>
      <c r="L632" s="206"/>
      <c r="M632" s="191" t="s">
        <v>4496</v>
      </c>
      <c r="N632" s="48" t="s">
        <v>4497</v>
      </c>
      <c r="O632" s="169"/>
      <c r="P632" s="169"/>
      <c r="Q632" s="169"/>
      <c r="R632" s="169"/>
      <c r="S632" s="169"/>
      <c r="T632" s="169"/>
      <c r="U632" s="169"/>
      <c r="V632" s="169"/>
      <c r="W632" s="169"/>
      <c r="X632" s="169"/>
      <c r="Y632" s="169"/>
      <c r="Z632" s="169"/>
      <c r="AA632" s="169"/>
      <c r="AB632" s="169"/>
      <c r="AC632" s="169"/>
      <c r="AD632" s="169"/>
      <c r="AE632" s="169"/>
      <c r="AF632" s="169"/>
      <c r="AG632" s="169"/>
      <c r="AH632" s="169"/>
    </row>
    <row r="633" ht="15.75" customHeight="1">
      <c r="A633" s="169"/>
      <c r="B633" s="38" t="s">
        <v>2222</v>
      </c>
      <c r="C633" s="191" t="s">
        <v>4498</v>
      </c>
      <c r="D633" s="40" t="s">
        <v>4499</v>
      </c>
      <c r="E633" s="38"/>
      <c r="F633" s="38"/>
      <c r="G633" s="38"/>
      <c r="H633" s="48" t="s">
        <v>4500</v>
      </c>
      <c r="I633" s="188">
        <v>45352.0</v>
      </c>
      <c r="J633" s="188">
        <v>45352.0</v>
      </c>
      <c r="K633" s="189">
        <v>2714.0</v>
      </c>
      <c r="L633" s="206"/>
      <c r="M633" s="191" t="s">
        <v>4501</v>
      </c>
      <c r="N633" s="48" t="s">
        <v>4502</v>
      </c>
      <c r="O633" s="169"/>
      <c r="P633" s="169"/>
      <c r="Q633" s="169"/>
      <c r="R633" s="169"/>
      <c r="S633" s="169"/>
      <c r="T633" s="169"/>
      <c r="U633" s="169"/>
      <c r="V633" s="169"/>
      <c r="W633" s="169"/>
      <c r="X633" s="169"/>
      <c r="Y633" s="169"/>
      <c r="Z633" s="169"/>
      <c r="AA633" s="169"/>
      <c r="AB633" s="169"/>
      <c r="AC633" s="169"/>
      <c r="AD633" s="169"/>
      <c r="AE633" s="169"/>
      <c r="AF633" s="169"/>
      <c r="AG633" s="169"/>
      <c r="AH633" s="169"/>
    </row>
    <row r="634" ht="15.75" customHeight="1">
      <c r="A634" s="169"/>
      <c r="B634" s="38" t="s">
        <v>2222</v>
      </c>
      <c r="C634" s="191" t="s">
        <v>4503</v>
      </c>
      <c r="D634" s="40" t="s">
        <v>4504</v>
      </c>
      <c r="E634" s="38"/>
      <c r="F634" s="38"/>
      <c r="G634" s="38"/>
      <c r="H634" s="48" t="s">
        <v>4505</v>
      </c>
      <c r="I634" s="188">
        <v>45352.0</v>
      </c>
      <c r="J634" s="188">
        <v>45352.0</v>
      </c>
      <c r="K634" s="189">
        <v>2750.0</v>
      </c>
      <c r="L634" s="206"/>
      <c r="M634" s="191" t="s">
        <v>4506</v>
      </c>
      <c r="N634" s="48" t="s">
        <v>4507</v>
      </c>
      <c r="O634" s="169"/>
      <c r="P634" s="169"/>
      <c r="Q634" s="169"/>
      <c r="R634" s="169"/>
      <c r="S634" s="169"/>
      <c r="T634" s="169"/>
      <c r="U634" s="169"/>
      <c r="V634" s="169"/>
      <c r="W634" s="169"/>
      <c r="X634" s="169"/>
      <c r="Y634" s="169"/>
      <c r="Z634" s="169"/>
      <c r="AA634" s="169"/>
      <c r="AB634" s="169"/>
      <c r="AC634" s="169"/>
      <c r="AD634" s="169"/>
      <c r="AE634" s="169"/>
      <c r="AF634" s="169"/>
      <c r="AG634" s="169"/>
      <c r="AH634" s="169"/>
    </row>
    <row r="635" ht="15.75" customHeight="1">
      <c r="A635" s="169"/>
      <c r="B635" s="38" t="s">
        <v>2222</v>
      </c>
      <c r="C635" s="191" t="s">
        <v>4508</v>
      </c>
      <c r="D635" s="40" t="s">
        <v>2232</v>
      </c>
      <c r="E635" s="38"/>
      <c r="F635" s="38"/>
      <c r="G635" s="38"/>
      <c r="H635" s="48" t="s">
        <v>4509</v>
      </c>
      <c r="I635" s="188">
        <v>45352.0</v>
      </c>
      <c r="J635" s="188">
        <v>45352.0</v>
      </c>
      <c r="K635" s="189">
        <v>2582.0</v>
      </c>
      <c r="L635" s="206"/>
      <c r="M635" s="191" t="s">
        <v>2231</v>
      </c>
      <c r="N635" s="48" t="s">
        <v>2234</v>
      </c>
      <c r="O635" s="169"/>
      <c r="P635" s="169"/>
      <c r="Q635" s="169"/>
      <c r="R635" s="169"/>
      <c r="S635" s="169"/>
      <c r="T635" s="169"/>
      <c r="U635" s="169"/>
      <c r="V635" s="169"/>
      <c r="W635" s="169"/>
      <c r="X635" s="169"/>
      <c r="Y635" s="169"/>
      <c r="Z635" s="169"/>
      <c r="AA635" s="169"/>
      <c r="AB635" s="169"/>
      <c r="AC635" s="169"/>
      <c r="AD635" s="169"/>
      <c r="AE635" s="169"/>
      <c r="AF635" s="169"/>
      <c r="AG635" s="169"/>
      <c r="AH635" s="169"/>
    </row>
    <row r="636" ht="15.75" customHeight="1">
      <c r="A636" s="169"/>
      <c r="B636" s="38" t="s">
        <v>2222</v>
      </c>
      <c r="C636" s="191" t="s">
        <v>4510</v>
      </c>
      <c r="D636" s="40" t="s">
        <v>2248</v>
      </c>
      <c r="E636" s="38"/>
      <c r="F636" s="38"/>
      <c r="G636" s="38"/>
      <c r="H636" s="48" t="s">
        <v>4511</v>
      </c>
      <c r="I636" s="188">
        <v>45352.0</v>
      </c>
      <c r="J636" s="188">
        <v>45352.0</v>
      </c>
      <c r="K636" s="189">
        <v>3114.0</v>
      </c>
      <c r="L636" s="206"/>
      <c r="M636" s="191" t="s">
        <v>2247</v>
      </c>
      <c r="N636" s="48" t="s">
        <v>2250</v>
      </c>
      <c r="O636" s="169"/>
      <c r="P636" s="169"/>
      <c r="Q636" s="169"/>
      <c r="R636" s="169"/>
      <c r="S636" s="169"/>
      <c r="T636" s="169"/>
      <c r="U636" s="169"/>
      <c r="V636" s="169"/>
      <c r="W636" s="169"/>
      <c r="X636" s="169"/>
      <c r="Y636" s="169"/>
      <c r="Z636" s="169"/>
      <c r="AA636" s="169"/>
      <c r="AB636" s="169"/>
      <c r="AC636" s="169"/>
      <c r="AD636" s="169"/>
      <c r="AE636" s="169"/>
      <c r="AF636" s="169"/>
      <c r="AG636" s="169"/>
      <c r="AH636" s="169"/>
    </row>
    <row r="637" ht="15.75" customHeight="1">
      <c r="A637" s="169"/>
      <c r="B637" s="38" t="s">
        <v>2222</v>
      </c>
      <c r="C637" s="191" t="s">
        <v>4512</v>
      </c>
      <c r="D637" s="40" t="s">
        <v>2264</v>
      </c>
      <c r="E637" s="38"/>
      <c r="F637" s="38"/>
      <c r="G637" s="38"/>
      <c r="H637" s="48" t="s">
        <v>4513</v>
      </c>
      <c r="I637" s="188">
        <v>45352.0</v>
      </c>
      <c r="J637" s="188">
        <v>45352.0</v>
      </c>
      <c r="K637" s="189">
        <v>4178.0</v>
      </c>
      <c r="L637" s="206"/>
      <c r="M637" s="191" t="s">
        <v>2263</v>
      </c>
      <c r="N637" s="48" t="s">
        <v>2266</v>
      </c>
      <c r="O637" s="169"/>
      <c r="P637" s="169"/>
      <c r="Q637" s="169"/>
      <c r="R637" s="169"/>
      <c r="S637" s="169"/>
      <c r="T637" s="169"/>
      <c r="U637" s="169"/>
      <c r="V637" s="169"/>
      <c r="W637" s="169"/>
      <c r="X637" s="169"/>
      <c r="Y637" s="169"/>
      <c r="Z637" s="169"/>
      <c r="AA637" s="169"/>
      <c r="AB637" s="169"/>
      <c r="AC637" s="169"/>
      <c r="AD637" s="169"/>
      <c r="AE637" s="169"/>
      <c r="AF637" s="169"/>
      <c r="AG637" s="169"/>
      <c r="AH637" s="169"/>
    </row>
    <row r="638" ht="15.75" customHeight="1">
      <c r="A638" s="169"/>
      <c r="B638" s="38" t="s">
        <v>2222</v>
      </c>
      <c r="C638" s="191" t="s">
        <v>4514</v>
      </c>
      <c r="D638" s="40" t="s">
        <v>2272</v>
      </c>
      <c r="E638" s="38"/>
      <c r="F638" s="38"/>
      <c r="G638" s="38"/>
      <c r="H638" s="48" t="s">
        <v>4515</v>
      </c>
      <c r="I638" s="188">
        <v>45352.0</v>
      </c>
      <c r="J638" s="188">
        <v>45352.0</v>
      </c>
      <c r="K638" s="189">
        <v>4660.0</v>
      </c>
      <c r="L638" s="206"/>
      <c r="M638" s="191" t="s">
        <v>2271</v>
      </c>
      <c r="N638" s="48" t="s">
        <v>2274</v>
      </c>
      <c r="O638" s="169"/>
      <c r="P638" s="169"/>
      <c r="Q638" s="169"/>
      <c r="R638" s="169"/>
      <c r="S638" s="169"/>
      <c r="T638" s="169"/>
      <c r="U638" s="169"/>
      <c r="V638" s="169"/>
      <c r="W638" s="169"/>
      <c r="X638" s="169"/>
      <c r="Y638" s="169"/>
      <c r="Z638" s="169"/>
      <c r="AA638" s="169"/>
      <c r="AB638" s="169"/>
      <c r="AC638" s="169"/>
      <c r="AD638" s="169"/>
      <c r="AE638" s="169"/>
      <c r="AF638" s="169"/>
      <c r="AG638" s="169"/>
      <c r="AH638" s="169"/>
    </row>
    <row r="639" ht="15.75" customHeight="1">
      <c r="A639" s="169"/>
      <c r="B639" s="38" t="s">
        <v>2222</v>
      </c>
      <c r="C639" s="191" t="s">
        <v>4516</v>
      </c>
      <c r="D639" s="40" t="s">
        <v>2236</v>
      </c>
      <c r="E639" s="38"/>
      <c r="F639" s="38"/>
      <c r="G639" s="38"/>
      <c r="H639" s="48" t="s">
        <v>4517</v>
      </c>
      <c r="I639" s="188">
        <v>45352.0</v>
      </c>
      <c r="J639" s="188">
        <v>45352.0</v>
      </c>
      <c r="K639" s="189">
        <v>2612.0</v>
      </c>
      <c r="L639" s="206"/>
      <c r="M639" s="191" t="s">
        <v>2235</v>
      </c>
      <c r="N639" s="48" t="s">
        <v>2238</v>
      </c>
      <c r="O639" s="169"/>
      <c r="P639" s="169"/>
      <c r="Q639" s="169"/>
      <c r="R639" s="169"/>
      <c r="S639" s="169"/>
      <c r="T639" s="169"/>
      <c r="U639" s="169"/>
      <c r="V639" s="169"/>
      <c r="W639" s="169"/>
      <c r="X639" s="169"/>
      <c r="Y639" s="169"/>
      <c r="Z639" s="169"/>
      <c r="AA639" s="169"/>
      <c r="AB639" s="169"/>
      <c r="AC639" s="169"/>
      <c r="AD639" s="169"/>
      <c r="AE639" s="169"/>
      <c r="AF639" s="169"/>
      <c r="AG639" s="169"/>
      <c r="AH639" s="169"/>
    </row>
    <row r="640" ht="15.75" customHeight="1">
      <c r="A640" s="169"/>
      <c r="B640" s="38" t="s">
        <v>2222</v>
      </c>
      <c r="C640" s="191" t="s">
        <v>4518</v>
      </c>
      <c r="D640" s="40" t="s">
        <v>2252</v>
      </c>
      <c r="E640" s="38"/>
      <c r="F640" s="38"/>
      <c r="G640" s="38"/>
      <c r="H640" s="48" t="s">
        <v>4519</v>
      </c>
      <c r="I640" s="188">
        <v>45352.0</v>
      </c>
      <c r="J640" s="188">
        <v>45352.0</v>
      </c>
      <c r="K640" s="189">
        <v>3144.0</v>
      </c>
      <c r="L640" s="206"/>
      <c r="M640" s="191" t="s">
        <v>2251</v>
      </c>
      <c r="N640" s="48" t="s">
        <v>2254</v>
      </c>
      <c r="O640" s="169"/>
      <c r="P640" s="169"/>
      <c r="Q640" s="169"/>
      <c r="R640" s="169"/>
      <c r="S640" s="169"/>
      <c r="T640" s="169"/>
      <c r="U640" s="169"/>
      <c r="V640" s="169"/>
      <c r="W640" s="169"/>
      <c r="X640" s="169"/>
      <c r="Y640" s="169"/>
      <c r="Z640" s="169"/>
      <c r="AA640" s="169"/>
      <c r="AB640" s="169"/>
      <c r="AC640" s="169"/>
      <c r="AD640" s="169"/>
      <c r="AE640" s="169"/>
      <c r="AF640" s="169"/>
      <c r="AG640" s="169"/>
      <c r="AH640" s="169"/>
    </row>
    <row r="641" ht="15.75" customHeight="1">
      <c r="A641" s="169"/>
      <c r="B641" s="38" t="s">
        <v>2222</v>
      </c>
      <c r="C641" s="191" t="s">
        <v>4520</v>
      </c>
      <c r="D641" s="40" t="s">
        <v>2268</v>
      </c>
      <c r="E641" s="38"/>
      <c r="F641" s="38"/>
      <c r="G641" s="38"/>
      <c r="H641" s="48" t="s">
        <v>4521</v>
      </c>
      <c r="I641" s="188">
        <v>45352.0</v>
      </c>
      <c r="J641" s="188">
        <v>45352.0</v>
      </c>
      <c r="K641" s="189">
        <v>4208.0</v>
      </c>
      <c r="L641" s="206"/>
      <c r="M641" s="191" t="s">
        <v>2267</v>
      </c>
      <c r="N641" s="48" t="s">
        <v>2270</v>
      </c>
      <c r="O641" s="169"/>
      <c r="P641" s="169"/>
      <c r="Q641" s="169"/>
      <c r="R641" s="169"/>
      <c r="S641" s="169"/>
      <c r="T641" s="169"/>
      <c r="U641" s="169"/>
      <c r="V641" s="169"/>
      <c r="W641" s="169"/>
      <c r="X641" s="169"/>
      <c r="Y641" s="169"/>
      <c r="Z641" s="169"/>
      <c r="AA641" s="169"/>
      <c r="AB641" s="169"/>
      <c r="AC641" s="169"/>
      <c r="AD641" s="169"/>
      <c r="AE641" s="169"/>
      <c r="AF641" s="169"/>
      <c r="AG641" s="169"/>
      <c r="AH641" s="169"/>
    </row>
    <row r="642" ht="15.75" customHeight="1">
      <c r="A642" s="169"/>
      <c r="B642" s="38" t="s">
        <v>23</v>
      </c>
      <c r="C642" s="191" t="s">
        <v>4522</v>
      </c>
      <c r="D642" s="40" t="s">
        <v>1609</v>
      </c>
      <c r="E642" s="38"/>
      <c r="F642" s="38"/>
      <c r="G642" s="38"/>
      <c r="H642" s="48" t="s">
        <v>4523</v>
      </c>
      <c r="I642" s="188">
        <v>45352.0</v>
      </c>
      <c r="J642" s="188">
        <v>45473.0</v>
      </c>
      <c r="K642" s="189">
        <v>198.0</v>
      </c>
      <c r="L642" s="206"/>
      <c r="M642" s="191" t="s">
        <v>1661</v>
      </c>
      <c r="N642" s="48" t="s">
        <v>1663</v>
      </c>
      <c r="O642" s="169"/>
      <c r="P642" s="169"/>
      <c r="Q642" s="169"/>
      <c r="R642" s="169"/>
      <c r="S642" s="169"/>
      <c r="T642" s="169"/>
      <c r="U642" s="169"/>
      <c r="V642" s="169"/>
      <c r="W642" s="169"/>
      <c r="X642" s="169"/>
      <c r="Y642" s="169"/>
      <c r="Z642" s="169"/>
      <c r="AA642" s="169"/>
      <c r="AB642" s="169"/>
      <c r="AC642" s="169"/>
      <c r="AD642" s="169"/>
      <c r="AE642" s="169"/>
      <c r="AF642" s="169"/>
      <c r="AG642" s="169"/>
      <c r="AH642" s="169"/>
    </row>
    <row r="643" ht="15.75" customHeight="1">
      <c r="A643" s="169"/>
      <c r="B643" s="38" t="s">
        <v>76</v>
      </c>
      <c r="C643" s="191" t="s">
        <v>3005</v>
      </c>
      <c r="D643" s="40" t="s">
        <v>3010</v>
      </c>
      <c r="E643" s="38"/>
      <c r="F643" s="38"/>
      <c r="G643" s="38"/>
      <c r="H643" s="48" t="s">
        <v>4524</v>
      </c>
      <c r="I643" s="188">
        <v>45383.0</v>
      </c>
      <c r="J643" s="188">
        <v>45383.0</v>
      </c>
      <c r="K643" s="189">
        <v>813.0</v>
      </c>
      <c r="L643" s="206"/>
      <c r="M643" s="191" t="s">
        <v>4525</v>
      </c>
      <c r="N643" s="48" t="s">
        <v>4526</v>
      </c>
      <c r="O643" s="169"/>
      <c r="P643" s="169"/>
      <c r="Q643" s="169"/>
      <c r="R643" s="169"/>
      <c r="S643" s="169"/>
      <c r="T643" s="169"/>
      <c r="U643" s="169"/>
      <c r="V643" s="169"/>
      <c r="W643" s="169"/>
      <c r="X643" s="169"/>
      <c r="Y643" s="169"/>
      <c r="Z643" s="169"/>
      <c r="AA643" s="169"/>
      <c r="AB643" s="169"/>
      <c r="AC643" s="169"/>
      <c r="AD643" s="169"/>
      <c r="AE643" s="169"/>
      <c r="AF643" s="169"/>
      <c r="AG643" s="169"/>
      <c r="AH643" s="169"/>
    </row>
    <row r="644" ht="15.75" customHeight="1">
      <c r="A644" s="169"/>
      <c r="B644" s="38" t="s">
        <v>76</v>
      </c>
      <c r="C644" s="191" t="s">
        <v>3016</v>
      </c>
      <c r="D644" s="40" t="s">
        <v>3020</v>
      </c>
      <c r="E644" s="38"/>
      <c r="F644" s="38"/>
      <c r="G644" s="38"/>
      <c r="H644" s="48" t="s">
        <v>4527</v>
      </c>
      <c r="I644" s="188">
        <v>45383.0</v>
      </c>
      <c r="J644" s="188">
        <v>45383.0</v>
      </c>
      <c r="K644" s="189">
        <v>887.0</v>
      </c>
      <c r="L644" s="206"/>
      <c r="M644" s="191" t="s">
        <v>4528</v>
      </c>
      <c r="N644" s="48" t="s">
        <v>4529</v>
      </c>
      <c r="O644" s="169"/>
      <c r="P644" s="169"/>
      <c r="Q644" s="169"/>
      <c r="R644" s="169"/>
      <c r="S644" s="169"/>
      <c r="T644" s="169"/>
      <c r="U644" s="169"/>
      <c r="V644" s="169"/>
      <c r="W644" s="169"/>
      <c r="X644" s="169"/>
      <c r="Y644" s="169"/>
      <c r="Z644" s="169"/>
      <c r="AA644" s="169"/>
      <c r="AB644" s="169"/>
      <c r="AC644" s="169"/>
      <c r="AD644" s="169"/>
      <c r="AE644" s="169"/>
      <c r="AF644" s="169"/>
      <c r="AG644" s="169"/>
      <c r="AH644" s="169"/>
    </row>
    <row r="645" ht="15.75" customHeight="1">
      <c r="A645" s="169"/>
      <c r="B645" s="38" t="s">
        <v>76</v>
      </c>
      <c r="C645" s="191" t="s">
        <v>3025</v>
      </c>
      <c r="D645" s="40" t="s">
        <v>3027</v>
      </c>
      <c r="E645" s="38"/>
      <c r="F645" s="38"/>
      <c r="G645" s="38"/>
      <c r="H645" s="48" t="s">
        <v>4530</v>
      </c>
      <c r="I645" s="188">
        <v>45383.0</v>
      </c>
      <c r="J645" s="188">
        <v>45383.0</v>
      </c>
      <c r="K645" s="189">
        <v>892.0</v>
      </c>
      <c r="L645" s="206"/>
      <c r="M645" s="191" t="s">
        <v>4531</v>
      </c>
      <c r="N645" s="48" t="s">
        <v>4532</v>
      </c>
      <c r="O645" s="169"/>
      <c r="P645" s="169"/>
      <c r="Q645" s="169"/>
      <c r="R645" s="169"/>
      <c r="S645" s="169"/>
      <c r="T645" s="169"/>
      <c r="U645" s="169"/>
      <c r="V645" s="169"/>
      <c r="W645" s="169"/>
      <c r="X645" s="169"/>
      <c r="Y645" s="169"/>
      <c r="Z645" s="169"/>
      <c r="AA645" s="169"/>
      <c r="AB645" s="169"/>
      <c r="AC645" s="169"/>
      <c r="AD645" s="169"/>
      <c r="AE645" s="169"/>
      <c r="AF645" s="169"/>
      <c r="AG645" s="169"/>
      <c r="AH645" s="169"/>
    </row>
    <row r="646" ht="30.0" customHeight="1">
      <c r="A646" s="169"/>
      <c r="B646" s="38" t="s">
        <v>3532</v>
      </c>
      <c r="C646" s="191" t="s">
        <v>4533</v>
      </c>
      <c r="D646" s="40" t="s">
        <v>4534</v>
      </c>
      <c r="E646" s="38"/>
      <c r="F646" s="38"/>
      <c r="G646" s="38"/>
      <c r="H646" s="48" t="s">
        <v>3539</v>
      </c>
      <c r="I646" s="188">
        <v>45413.0</v>
      </c>
      <c r="J646" s="188">
        <v>45442.0</v>
      </c>
      <c r="K646" s="189">
        <v>46.0</v>
      </c>
      <c r="L646" s="206"/>
      <c r="M646" s="191" t="s">
        <v>4535</v>
      </c>
      <c r="N646" s="48" t="s">
        <v>3539</v>
      </c>
      <c r="O646" s="169"/>
      <c r="P646" s="169"/>
      <c r="Q646" s="169"/>
      <c r="R646" s="169"/>
      <c r="S646" s="169"/>
      <c r="T646" s="169"/>
      <c r="U646" s="169"/>
      <c r="V646" s="169"/>
      <c r="W646" s="169"/>
      <c r="X646" s="169"/>
      <c r="Y646" s="169"/>
      <c r="Z646" s="169"/>
      <c r="AA646" s="169"/>
      <c r="AB646" s="169"/>
      <c r="AC646" s="169"/>
      <c r="AD646" s="169"/>
      <c r="AE646" s="169"/>
      <c r="AF646" s="169"/>
      <c r="AG646" s="169"/>
      <c r="AH646" s="169"/>
    </row>
    <row r="647" ht="30.0" customHeight="1">
      <c r="A647" s="169"/>
      <c r="B647" s="38" t="s">
        <v>3532</v>
      </c>
      <c r="C647" s="191" t="s">
        <v>4536</v>
      </c>
      <c r="D647" s="40" t="s">
        <v>4537</v>
      </c>
      <c r="E647" s="38"/>
      <c r="F647" s="38"/>
      <c r="G647" s="38"/>
      <c r="H647" s="48" t="s">
        <v>3546</v>
      </c>
      <c r="I647" s="188">
        <v>45413.0</v>
      </c>
      <c r="J647" s="188">
        <v>45442.0</v>
      </c>
      <c r="K647" s="189">
        <v>97.0</v>
      </c>
      <c r="L647" s="206"/>
      <c r="M647" s="191" t="s">
        <v>4538</v>
      </c>
      <c r="N647" s="48" t="s">
        <v>3546</v>
      </c>
      <c r="O647" s="169"/>
      <c r="P647" s="169"/>
      <c r="Q647" s="169"/>
      <c r="R647" s="169"/>
      <c r="S647" s="169"/>
      <c r="T647" s="169"/>
      <c r="U647" s="169"/>
      <c r="V647" s="169"/>
      <c r="W647" s="169"/>
      <c r="X647" s="169"/>
      <c r="Y647" s="169"/>
      <c r="Z647" s="169"/>
      <c r="AA647" s="169"/>
      <c r="AB647" s="169"/>
      <c r="AC647" s="169"/>
      <c r="AD647" s="169"/>
      <c r="AE647" s="169"/>
      <c r="AF647" s="169"/>
      <c r="AG647" s="169"/>
      <c r="AH647" s="169"/>
    </row>
    <row r="648" ht="30.0" customHeight="1">
      <c r="A648" s="169"/>
      <c r="B648" s="38" t="s">
        <v>3532</v>
      </c>
      <c r="C648" s="191" t="s">
        <v>4539</v>
      </c>
      <c r="D648" s="40" t="s">
        <v>4540</v>
      </c>
      <c r="E648" s="38" t="s">
        <v>16</v>
      </c>
      <c r="F648" s="38" t="s">
        <v>925</v>
      </c>
      <c r="G648" s="38"/>
      <c r="H648" s="48" t="s">
        <v>4541</v>
      </c>
      <c r="I648" s="188">
        <v>45413.0</v>
      </c>
      <c r="J648" s="188">
        <v>45442.0</v>
      </c>
      <c r="K648" s="189">
        <v>7580.0</v>
      </c>
      <c r="L648" s="206"/>
      <c r="M648" s="191" t="s">
        <v>975</v>
      </c>
      <c r="N648" s="48" t="s">
        <v>976</v>
      </c>
      <c r="O648" s="169"/>
      <c r="P648" s="169"/>
      <c r="Q648" s="169"/>
      <c r="R648" s="169"/>
      <c r="S648" s="169"/>
      <c r="T648" s="169"/>
      <c r="U648" s="169"/>
      <c r="V648" s="169"/>
      <c r="W648" s="169"/>
      <c r="X648" s="169"/>
      <c r="Y648" s="169"/>
      <c r="Z648" s="169"/>
      <c r="AA648" s="169"/>
      <c r="AB648" s="169"/>
      <c r="AC648" s="169"/>
      <c r="AD648" s="169"/>
      <c r="AE648" s="169"/>
      <c r="AF648" s="169"/>
      <c r="AG648" s="169"/>
      <c r="AH648" s="169"/>
    </row>
    <row r="649" ht="30.0" customHeight="1">
      <c r="A649" s="169"/>
      <c r="B649" s="38" t="s">
        <v>3532</v>
      </c>
      <c r="C649" s="191" t="s">
        <v>4542</v>
      </c>
      <c r="D649" s="40" t="s">
        <v>4543</v>
      </c>
      <c r="E649" s="38"/>
      <c r="F649" s="38" t="s">
        <v>623</v>
      </c>
      <c r="G649" s="38" t="s">
        <v>26</v>
      </c>
      <c r="H649" s="48" t="s">
        <v>4544</v>
      </c>
      <c r="I649" s="188">
        <v>45413.0</v>
      </c>
      <c r="J649" s="188">
        <v>45442.0</v>
      </c>
      <c r="K649" s="189">
        <v>78.0</v>
      </c>
      <c r="L649" s="206"/>
      <c r="M649" s="191" t="s">
        <v>4545</v>
      </c>
      <c r="N649" s="48"/>
      <c r="O649" s="169"/>
      <c r="P649" s="169"/>
      <c r="Q649" s="169"/>
      <c r="R649" s="169"/>
      <c r="S649" s="169"/>
      <c r="T649" s="169"/>
      <c r="U649" s="169"/>
      <c r="V649" s="169"/>
      <c r="W649" s="169"/>
      <c r="X649" s="169"/>
      <c r="Y649" s="169"/>
      <c r="Z649" s="169"/>
      <c r="AA649" s="169"/>
      <c r="AB649" s="169"/>
      <c r="AC649" s="169"/>
      <c r="AD649" s="169"/>
      <c r="AE649" s="169"/>
      <c r="AF649" s="169"/>
      <c r="AG649" s="169"/>
      <c r="AH649" s="169"/>
    </row>
    <row r="650" ht="30.0" customHeight="1">
      <c r="A650" s="169"/>
      <c r="B650" s="38" t="s">
        <v>3532</v>
      </c>
      <c r="C650" s="191" t="s">
        <v>4546</v>
      </c>
      <c r="D650" s="40" t="s">
        <v>4543</v>
      </c>
      <c r="E650" s="38"/>
      <c r="F650" s="38" t="s">
        <v>623</v>
      </c>
      <c r="G650" s="38" t="s">
        <v>26</v>
      </c>
      <c r="H650" s="48" t="s">
        <v>4547</v>
      </c>
      <c r="I650" s="188">
        <v>45413.0</v>
      </c>
      <c r="J650" s="188">
        <v>45442.0</v>
      </c>
      <c r="K650" s="189">
        <v>65.0</v>
      </c>
      <c r="L650" s="206"/>
      <c r="M650" s="191" t="s">
        <v>4545</v>
      </c>
      <c r="N650" s="48"/>
      <c r="O650" s="169"/>
      <c r="P650" s="169"/>
      <c r="Q650" s="169"/>
      <c r="R650" s="169"/>
      <c r="S650" s="169"/>
      <c r="T650" s="169"/>
      <c r="U650" s="169"/>
      <c r="V650" s="169"/>
      <c r="W650" s="169"/>
      <c r="X650" s="169"/>
      <c r="Y650" s="169"/>
      <c r="Z650" s="169"/>
      <c r="AA650" s="169"/>
      <c r="AB650" s="169"/>
      <c r="AC650" s="169"/>
      <c r="AD650" s="169"/>
      <c r="AE650" s="169"/>
      <c r="AF650" s="169"/>
      <c r="AG650" s="169"/>
      <c r="AH650" s="169"/>
    </row>
    <row r="651" ht="30.0" customHeight="1">
      <c r="A651" s="169"/>
      <c r="B651" s="38" t="s">
        <v>3532</v>
      </c>
      <c r="C651" s="191" t="s">
        <v>4548</v>
      </c>
      <c r="D651" s="40" t="s">
        <v>4543</v>
      </c>
      <c r="E651" s="38"/>
      <c r="F651" s="38" t="s">
        <v>623</v>
      </c>
      <c r="G651" s="38" t="s">
        <v>26</v>
      </c>
      <c r="H651" s="48" t="s">
        <v>4549</v>
      </c>
      <c r="I651" s="188">
        <v>45413.0</v>
      </c>
      <c r="J651" s="188">
        <v>45442.0</v>
      </c>
      <c r="K651" s="189">
        <v>65.0</v>
      </c>
      <c r="L651" s="206"/>
      <c r="M651" s="191" t="s">
        <v>4545</v>
      </c>
      <c r="N651" s="48"/>
      <c r="O651" s="169"/>
      <c r="P651" s="169"/>
      <c r="Q651" s="169"/>
      <c r="R651" s="169"/>
      <c r="S651" s="169"/>
      <c r="T651" s="169"/>
      <c r="U651" s="169"/>
      <c r="V651" s="169"/>
      <c r="W651" s="169"/>
      <c r="X651" s="169"/>
      <c r="Y651" s="169"/>
      <c r="Z651" s="169"/>
      <c r="AA651" s="169"/>
      <c r="AB651" s="169"/>
      <c r="AC651" s="169"/>
      <c r="AD651" s="169"/>
      <c r="AE651" s="169"/>
      <c r="AF651" s="169"/>
      <c r="AG651" s="169"/>
      <c r="AH651" s="169"/>
    </row>
    <row r="652" ht="30.0" customHeight="1">
      <c r="A652" s="169"/>
      <c r="B652" s="38" t="s">
        <v>3532</v>
      </c>
      <c r="C652" s="191" t="s">
        <v>4550</v>
      </c>
      <c r="D652" s="40" t="s">
        <v>4543</v>
      </c>
      <c r="E652" s="38"/>
      <c r="F652" s="38" t="s">
        <v>623</v>
      </c>
      <c r="G652" s="38" t="s">
        <v>26</v>
      </c>
      <c r="H652" s="48" t="s">
        <v>4551</v>
      </c>
      <c r="I652" s="188">
        <v>45413.0</v>
      </c>
      <c r="J652" s="188">
        <v>45442.0</v>
      </c>
      <c r="K652" s="189">
        <v>65.0</v>
      </c>
      <c r="L652" s="206"/>
      <c r="M652" s="191" t="s">
        <v>4545</v>
      </c>
      <c r="N652" s="48"/>
      <c r="O652" s="169"/>
      <c r="P652" s="169"/>
      <c r="Q652" s="169"/>
      <c r="R652" s="169"/>
      <c r="S652" s="169"/>
      <c r="T652" s="169"/>
      <c r="U652" s="169"/>
      <c r="V652" s="169"/>
      <c r="W652" s="169"/>
      <c r="X652" s="169"/>
      <c r="Y652" s="169"/>
      <c r="Z652" s="169"/>
      <c r="AA652" s="169"/>
      <c r="AB652" s="169"/>
      <c r="AC652" s="169"/>
      <c r="AD652" s="169"/>
      <c r="AE652" s="169"/>
      <c r="AF652" s="169"/>
      <c r="AG652" s="169"/>
      <c r="AH652" s="169"/>
    </row>
    <row r="653" ht="30.0" customHeight="1">
      <c r="A653" s="169"/>
      <c r="B653" s="38" t="s">
        <v>2620</v>
      </c>
      <c r="C653" s="191" t="s">
        <v>4446</v>
      </c>
      <c r="D653" s="40" t="s">
        <v>2672</v>
      </c>
      <c r="E653" s="38"/>
      <c r="F653" s="38"/>
      <c r="G653" s="38"/>
      <c r="H653" s="48" t="s">
        <v>4447</v>
      </c>
      <c r="I653" s="188">
        <v>45444.0</v>
      </c>
      <c r="J653" s="188">
        <v>45473.0</v>
      </c>
      <c r="K653" s="189">
        <v>201.0</v>
      </c>
      <c r="L653" s="206"/>
      <c r="M653" s="191" t="s">
        <v>4552</v>
      </c>
      <c r="N653" s="48" t="s">
        <v>2673</v>
      </c>
      <c r="O653" s="169"/>
      <c r="P653" s="169"/>
      <c r="Q653" s="169"/>
      <c r="R653" s="169"/>
      <c r="S653" s="169"/>
      <c r="T653" s="169"/>
      <c r="U653" s="169"/>
      <c r="V653" s="169"/>
      <c r="W653" s="169"/>
      <c r="X653" s="169"/>
      <c r="Y653" s="169"/>
      <c r="Z653" s="169"/>
      <c r="AA653" s="169"/>
      <c r="AB653" s="169"/>
      <c r="AC653" s="169"/>
      <c r="AD653" s="169"/>
      <c r="AE653" s="169"/>
      <c r="AF653" s="169"/>
      <c r="AG653" s="169"/>
      <c r="AH653" s="169"/>
    </row>
    <row r="654" ht="15.75" customHeight="1">
      <c r="A654" s="169"/>
      <c r="B654" s="38" t="s">
        <v>23</v>
      </c>
      <c r="C654" s="191" t="s">
        <v>4553</v>
      </c>
      <c r="D654" s="40" t="s">
        <v>1532</v>
      </c>
      <c r="E654" s="38"/>
      <c r="F654" s="38"/>
      <c r="G654" s="38"/>
      <c r="H654" s="48" t="s">
        <v>4554</v>
      </c>
      <c r="I654" s="188">
        <v>45505.0</v>
      </c>
      <c r="J654" s="188">
        <v>45518.0</v>
      </c>
      <c r="K654" s="189">
        <v>28.0</v>
      </c>
      <c r="L654" s="206"/>
      <c r="M654" s="191" t="s">
        <v>1554</v>
      </c>
      <c r="N654" s="48" t="s">
        <v>1555</v>
      </c>
      <c r="O654" s="169"/>
      <c r="P654" s="169"/>
      <c r="Q654" s="169"/>
      <c r="R654" s="169"/>
      <c r="S654" s="169"/>
      <c r="T654" s="169"/>
      <c r="U654" s="169"/>
      <c r="V654" s="169"/>
      <c r="W654" s="169"/>
      <c r="X654" s="169"/>
      <c r="Y654" s="169"/>
      <c r="Z654" s="169"/>
      <c r="AA654" s="169"/>
      <c r="AB654" s="169"/>
      <c r="AC654" s="169"/>
      <c r="AD654" s="169"/>
      <c r="AE654" s="169"/>
      <c r="AF654" s="169"/>
      <c r="AG654" s="169"/>
      <c r="AH654" s="169"/>
    </row>
    <row r="655" ht="15.75" customHeight="1">
      <c r="A655" s="169"/>
      <c r="B655" s="38" t="s">
        <v>2020</v>
      </c>
      <c r="C655" s="191" t="s">
        <v>3625</v>
      </c>
      <c r="D655" s="40" t="s">
        <v>2047</v>
      </c>
      <c r="E655" s="38"/>
      <c r="F655" s="38"/>
      <c r="G655" s="38" t="s">
        <v>2020</v>
      </c>
      <c r="H655" s="48" t="s">
        <v>4555</v>
      </c>
      <c r="I655" s="188">
        <v>45505.0</v>
      </c>
      <c r="J655" s="188">
        <v>45518.0</v>
      </c>
      <c r="K655" s="189">
        <v>1690.0</v>
      </c>
      <c r="L655" s="206"/>
      <c r="M655" s="191" t="s">
        <v>2046</v>
      </c>
      <c r="N655" s="134" t="s">
        <v>2048</v>
      </c>
      <c r="O655" s="169"/>
      <c r="P655" s="169"/>
      <c r="Q655" s="169"/>
      <c r="R655" s="169"/>
      <c r="S655" s="169"/>
      <c r="T655" s="169"/>
      <c r="U655" s="169"/>
      <c r="V655" s="169"/>
      <c r="W655" s="169"/>
      <c r="X655" s="169"/>
      <c r="Y655" s="169"/>
      <c r="Z655" s="169"/>
      <c r="AA655" s="169"/>
      <c r="AB655" s="169"/>
      <c r="AC655" s="169"/>
      <c r="AD655" s="169"/>
      <c r="AE655" s="169"/>
      <c r="AF655" s="169"/>
      <c r="AG655" s="169"/>
      <c r="AH655" s="169"/>
    </row>
    <row r="656" ht="78.75" customHeight="1">
      <c r="A656" s="169"/>
      <c r="B656" s="38" t="s">
        <v>1031</v>
      </c>
      <c r="C656" s="191" t="s">
        <v>3372</v>
      </c>
      <c r="D656" s="40" t="s">
        <v>4556</v>
      </c>
      <c r="E656" s="38" t="s">
        <v>168</v>
      </c>
      <c r="F656" s="38" t="s">
        <v>1041</v>
      </c>
      <c r="G656" s="38" t="s">
        <v>1035</v>
      </c>
      <c r="H656" s="48" t="s">
        <v>3373</v>
      </c>
      <c r="I656" s="188">
        <v>45505.0</v>
      </c>
      <c r="J656" s="188">
        <v>45717.0</v>
      </c>
      <c r="K656" s="189">
        <v>6540.0</v>
      </c>
      <c r="L656" s="206"/>
      <c r="M656" s="191" t="s">
        <v>1043</v>
      </c>
      <c r="N656" s="134" t="s">
        <v>4557</v>
      </c>
      <c r="O656" s="169"/>
      <c r="P656" s="169"/>
      <c r="Q656" s="169"/>
      <c r="R656" s="169"/>
      <c r="S656" s="169"/>
      <c r="T656" s="169"/>
      <c r="U656" s="169"/>
      <c r="V656" s="169"/>
      <c r="W656" s="169"/>
      <c r="X656" s="169"/>
      <c r="Y656" s="169"/>
      <c r="Z656" s="169"/>
      <c r="AA656" s="169"/>
      <c r="AB656" s="169"/>
      <c r="AC656" s="169"/>
      <c r="AD656" s="169"/>
      <c r="AE656" s="169"/>
      <c r="AF656" s="169"/>
      <c r="AG656" s="169"/>
      <c r="AH656" s="169"/>
    </row>
    <row r="657" ht="15.75" customHeight="1">
      <c r="A657" s="169"/>
      <c r="B657" s="38" t="s">
        <v>1256</v>
      </c>
      <c r="C657" s="191" t="s">
        <v>3188</v>
      </c>
      <c r="D657" s="40" t="s">
        <v>1258</v>
      </c>
      <c r="E657" s="38"/>
      <c r="F657" s="38" t="s">
        <v>1083</v>
      </c>
      <c r="G657" s="38" t="s">
        <v>1259</v>
      </c>
      <c r="H657" s="48" t="s">
        <v>3189</v>
      </c>
      <c r="I657" s="188">
        <v>45536.0</v>
      </c>
      <c r="J657" s="188">
        <v>45626.0</v>
      </c>
      <c r="K657" s="189">
        <v>880.0</v>
      </c>
      <c r="L657" s="206"/>
      <c r="M657" s="191" t="s">
        <v>1257</v>
      </c>
      <c r="N657" s="48" t="s">
        <v>3189</v>
      </c>
      <c r="O657" s="169"/>
      <c r="P657" s="169"/>
      <c r="Q657" s="169"/>
      <c r="R657" s="169"/>
      <c r="S657" s="169"/>
      <c r="T657" s="169"/>
      <c r="U657" s="169"/>
      <c r="V657" s="169"/>
      <c r="W657" s="169"/>
      <c r="X657" s="169"/>
      <c r="Y657" s="169"/>
      <c r="Z657" s="169"/>
      <c r="AA657" s="169"/>
      <c r="AB657" s="169"/>
      <c r="AC657" s="169"/>
      <c r="AD657" s="169"/>
      <c r="AE657" s="169"/>
      <c r="AF657" s="169"/>
      <c r="AG657" s="169"/>
      <c r="AH657" s="169"/>
    </row>
    <row r="658" ht="15.75" customHeight="1">
      <c r="A658" s="169"/>
      <c r="B658" s="38" t="s">
        <v>1256</v>
      </c>
      <c r="C658" s="191" t="s">
        <v>4404</v>
      </c>
      <c r="D658" s="40" t="s">
        <v>1262</v>
      </c>
      <c r="E658" s="38"/>
      <c r="F658" s="38" t="s">
        <v>1083</v>
      </c>
      <c r="G658" s="38" t="s">
        <v>1259</v>
      </c>
      <c r="H658" s="48" t="s">
        <v>4405</v>
      </c>
      <c r="I658" s="188">
        <v>45536.0</v>
      </c>
      <c r="J658" s="188">
        <v>45626.0</v>
      </c>
      <c r="K658" s="189">
        <v>1180.0</v>
      </c>
      <c r="L658" s="206"/>
      <c r="M658" s="191" t="s">
        <v>1261</v>
      </c>
      <c r="N658" s="48" t="s">
        <v>4405</v>
      </c>
      <c r="O658" s="169"/>
      <c r="P658" s="169"/>
      <c r="Q658" s="169"/>
      <c r="R658" s="169"/>
      <c r="S658" s="169"/>
      <c r="T658" s="169"/>
      <c r="U658" s="169"/>
      <c r="V658" s="169"/>
      <c r="W658" s="169"/>
      <c r="X658" s="169"/>
      <c r="Y658" s="169"/>
      <c r="Z658" s="169"/>
      <c r="AA658" s="169"/>
      <c r="AB658" s="169"/>
      <c r="AC658" s="169"/>
      <c r="AD658" s="169"/>
      <c r="AE658" s="169"/>
      <c r="AF658" s="169"/>
      <c r="AG658" s="169"/>
      <c r="AH658" s="169"/>
    </row>
    <row r="659" ht="15.75" customHeight="1">
      <c r="A659" s="169"/>
      <c r="B659" s="38" t="s">
        <v>1256</v>
      </c>
      <c r="C659" s="191" t="s">
        <v>4558</v>
      </c>
      <c r="D659" s="40" t="s">
        <v>1265</v>
      </c>
      <c r="E659" s="38"/>
      <c r="F659" s="38" t="s">
        <v>1083</v>
      </c>
      <c r="G659" s="38" t="s">
        <v>1259</v>
      </c>
      <c r="H659" s="48" t="s">
        <v>4559</v>
      </c>
      <c r="I659" s="188">
        <v>45536.0</v>
      </c>
      <c r="J659" s="188">
        <v>45626.0</v>
      </c>
      <c r="K659" s="189">
        <v>1350.0</v>
      </c>
      <c r="L659" s="206"/>
      <c r="M659" s="191" t="s">
        <v>1264</v>
      </c>
      <c r="N659" s="48" t="s">
        <v>4559</v>
      </c>
      <c r="O659" s="169"/>
      <c r="P659" s="169"/>
      <c r="Q659" s="169"/>
      <c r="R659" s="169"/>
      <c r="S659" s="169"/>
      <c r="T659" s="169"/>
      <c r="U659" s="169"/>
      <c r="V659" s="169"/>
      <c r="W659" s="169"/>
      <c r="X659" s="169"/>
      <c r="Y659" s="169"/>
      <c r="Z659" s="169"/>
      <c r="AA659" s="169"/>
      <c r="AB659" s="169"/>
      <c r="AC659" s="169"/>
      <c r="AD659" s="169"/>
      <c r="AE659" s="169"/>
      <c r="AF659" s="169"/>
      <c r="AG659" s="169"/>
      <c r="AH659" s="169"/>
    </row>
    <row r="660" ht="15.75" customHeight="1">
      <c r="A660" s="169"/>
      <c r="B660" s="38" t="s">
        <v>1256</v>
      </c>
      <c r="C660" s="191" t="s">
        <v>4560</v>
      </c>
      <c r="D660" s="40" t="s">
        <v>4561</v>
      </c>
      <c r="E660" s="38"/>
      <c r="F660" s="38" t="s">
        <v>1083</v>
      </c>
      <c r="G660" s="38" t="s">
        <v>1259</v>
      </c>
      <c r="H660" s="48" t="s">
        <v>4562</v>
      </c>
      <c r="I660" s="188">
        <v>45536.0</v>
      </c>
      <c r="J660" s="188">
        <v>45626.0</v>
      </c>
      <c r="K660" s="189">
        <v>2540.0</v>
      </c>
      <c r="L660" s="206"/>
      <c r="M660" s="191" t="s">
        <v>4563</v>
      </c>
      <c r="N660" s="48" t="s">
        <v>4562</v>
      </c>
      <c r="O660" s="169"/>
      <c r="P660" s="169"/>
      <c r="Q660" s="169"/>
      <c r="R660" s="169"/>
      <c r="S660" s="169"/>
      <c r="T660" s="169"/>
      <c r="U660" s="169"/>
      <c r="V660" s="169"/>
      <c r="W660" s="169"/>
      <c r="X660" s="169"/>
      <c r="Y660" s="169"/>
      <c r="Z660" s="169"/>
      <c r="AA660" s="169"/>
      <c r="AB660" s="169"/>
      <c r="AC660" s="169"/>
      <c r="AD660" s="169"/>
      <c r="AE660" s="169"/>
      <c r="AF660" s="169"/>
      <c r="AG660" s="169"/>
      <c r="AH660" s="169"/>
    </row>
    <row r="661" ht="78.75" customHeight="1">
      <c r="A661" s="169"/>
      <c r="B661" s="38" t="s">
        <v>1031</v>
      </c>
      <c r="C661" s="191" t="s">
        <v>4564</v>
      </c>
      <c r="D661" s="40" t="s">
        <v>4565</v>
      </c>
      <c r="E661" s="38" t="s">
        <v>121</v>
      </c>
      <c r="F661" s="38" t="s">
        <v>1041</v>
      </c>
      <c r="G661" s="38" t="s">
        <v>1035</v>
      </c>
      <c r="H661" s="48" t="s">
        <v>4566</v>
      </c>
      <c r="I661" s="188">
        <v>45536.0</v>
      </c>
      <c r="J661" s="188">
        <v>45566.0</v>
      </c>
      <c r="K661" s="189">
        <v>13850.0</v>
      </c>
      <c r="L661" s="206"/>
      <c r="M661" s="191" t="s">
        <v>4545</v>
      </c>
      <c r="N661" s="48"/>
      <c r="O661" s="169"/>
      <c r="P661" s="169"/>
      <c r="Q661" s="169"/>
      <c r="R661" s="169"/>
      <c r="S661" s="169"/>
      <c r="T661" s="169"/>
      <c r="U661" s="169"/>
      <c r="V661" s="169"/>
      <c r="W661" s="169"/>
      <c r="X661" s="169"/>
      <c r="Y661" s="169"/>
      <c r="Z661" s="169"/>
      <c r="AA661" s="169"/>
      <c r="AB661" s="169"/>
      <c r="AC661" s="169"/>
      <c r="AD661" s="169"/>
      <c r="AE661" s="169"/>
      <c r="AF661" s="169"/>
      <c r="AG661" s="169"/>
      <c r="AH661" s="169"/>
    </row>
    <row r="662" ht="78.75" customHeight="1">
      <c r="A662" s="169"/>
      <c r="B662" s="38" t="s">
        <v>1031</v>
      </c>
      <c r="C662" s="191" t="s">
        <v>4567</v>
      </c>
      <c r="D662" s="40" t="s">
        <v>4568</v>
      </c>
      <c r="E662" s="38" t="s">
        <v>121</v>
      </c>
      <c r="F662" s="38" t="s">
        <v>1041</v>
      </c>
      <c r="G662" s="38" t="s">
        <v>1035</v>
      </c>
      <c r="H662" s="48" t="s">
        <v>4569</v>
      </c>
      <c r="I662" s="188">
        <v>45536.0</v>
      </c>
      <c r="J662" s="188">
        <v>45566.0</v>
      </c>
      <c r="K662" s="189">
        <v>13090.0</v>
      </c>
      <c r="L662" s="206"/>
      <c r="M662" s="191" t="s">
        <v>4545</v>
      </c>
      <c r="N662" s="48"/>
      <c r="O662" s="169"/>
      <c r="P662" s="169"/>
      <c r="Q662" s="169"/>
      <c r="R662" s="169"/>
      <c r="S662" s="169"/>
      <c r="T662" s="169"/>
      <c r="U662" s="169"/>
      <c r="V662" s="169"/>
      <c r="W662" s="169"/>
      <c r="X662" s="169"/>
      <c r="Y662" s="169"/>
      <c r="Z662" s="169"/>
      <c r="AA662" s="169"/>
      <c r="AB662" s="169"/>
      <c r="AC662" s="169"/>
      <c r="AD662" s="169"/>
      <c r="AE662" s="169"/>
      <c r="AF662" s="169"/>
      <c r="AG662" s="169"/>
      <c r="AH662" s="169"/>
    </row>
    <row r="663" ht="15.75" customHeight="1">
      <c r="A663" s="169"/>
      <c r="B663" s="38" t="s">
        <v>118</v>
      </c>
      <c r="C663" s="191" t="s">
        <v>3330</v>
      </c>
      <c r="D663" s="40" t="s">
        <v>3327</v>
      </c>
      <c r="E663" s="38" t="s">
        <v>121</v>
      </c>
      <c r="F663" s="38" t="s">
        <v>3328</v>
      </c>
      <c r="G663" s="38" t="s">
        <v>123</v>
      </c>
      <c r="H663" s="48" t="s">
        <v>3331</v>
      </c>
      <c r="I663" s="188">
        <v>45536.0</v>
      </c>
      <c r="J663" s="188">
        <v>45809.0</v>
      </c>
      <c r="K663" s="189">
        <v>1813.0</v>
      </c>
      <c r="L663" s="206"/>
      <c r="M663" s="191" t="s">
        <v>162</v>
      </c>
      <c r="N663" s="48" t="s">
        <v>165</v>
      </c>
      <c r="O663" s="169"/>
      <c r="P663" s="169"/>
      <c r="Q663" s="169"/>
      <c r="R663" s="169"/>
      <c r="S663" s="169"/>
      <c r="T663" s="169"/>
      <c r="U663" s="169"/>
      <c r="V663" s="169"/>
      <c r="W663" s="169"/>
      <c r="X663" s="169"/>
      <c r="Y663" s="169"/>
      <c r="Z663" s="169"/>
      <c r="AA663" s="169"/>
      <c r="AB663" s="169"/>
      <c r="AC663" s="169"/>
      <c r="AD663" s="169"/>
      <c r="AE663" s="169"/>
      <c r="AF663" s="169"/>
      <c r="AG663" s="169"/>
      <c r="AH663" s="169"/>
    </row>
    <row r="664" ht="15.75" customHeight="1">
      <c r="A664" s="169"/>
      <c r="B664" s="38" t="s">
        <v>2020</v>
      </c>
      <c r="C664" s="191" t="s">
        <v>4115</v>
      </c>
      <c r="D664" s="40" t="s">
        <v>4570</v>
      </c>
      <c r="E664" s="38"/>
      <c r="F664" s="38"/>
      <c r="G664" s="38"/>
      <c r="H664" s="48" t="s">
        <v>4571</v>
      </c>
      <c r="I664" s="188">
        <v>45566.0</v>
      </c>
      <c r="J664" s="188">
        <v>45566.0</v>
      </c>
      <c r="K664" s="189">
        <v>7030.0</v>
      </c>
      <c r="L664" s="206"/>
      <c r="M664" s="191" t="s">
        <v>2519</v>
      </c>
      <c r="N664" s="48" t="s">
        <v>2522</v>
      </c>
      <c r="O664" s="169"/>
      <c r="P664" s="169"/>
      <c r="Q664" s="169"/>
      <c r="R664" s="169"/>
      <c r="S664" s="169"/>
      <c r="T664" s="169"/>
      <c r="U664" s="169"/>
      <c r="V664" s="169"/>
      <c r="W664" s="169"/>
      <c r="X664" s="169"/>
      <c r="Y664" s="169"/>
      <c r="Z664" s="169"/>
      <c r="AA664" s="169"/>
      <c r="AB664" s="169"/>
      <c r="AC664" s="169"/>
      <c r="AD664" s="169"/>
      <c r="AE664" s="169"/>
      <c r="AF664" s="169"/>
      <c r="AG664" s="169"/>
      <c r="AH664" s="169"/>
    </row>
    <row r="665" ht="15.75" customHeight="1">
      <c r="A665" s="169"/>
      <c r="B665" s="38" t="s">
        <v>2020</v>
      </c>
      <c r="C665" s="191" t="s">
        <v>4117</v>
      </c>
      <c r="D665" s="40" t="s">
        <v>4570</v>
      </c>
      <c r="E665" s="38"/>
      <c r="F665" s="38"/>
      <c r="G665" s="38"/>
      <c r="H665" s="48" t="s">
        <v>4572</v>
      </c>
      <c r="I665" s="188">
        <v>45566.0</v>
      </c>
      <c r="J665" s="188">
        <v>45566.0</v>
      </c>
      <c r="K665" s="189">
        <v>7480.0</v>
      </c>
      <c r="L665" s="206"/>
      <c r="M665" s="191" t="s">
        <v>2523</v>
      </c>
      <c r="N665" s="48" t="s">
        <v>2525</v>
      </c>
      <c r="O665" s="169"/>
      <c r="P665" s="169"/>
      <c r="Q665" s="169"/>
      <c r="R665" s="169"/>
      <c r="S665" s="169"/>
      <c r="T665" s="169"/>
      <c r="U665" s="169"/>
      <c r="V665" s="169"/>
      <c r="W665" s="169"/>
      <c r="X665" s="169"/>
      <c r="Y665" s="169"/>
      <c r="Z665" s="169"/>
      <c r="AA665" s="169"/>
      <c r="AB665" s="169"/>
      <c r="AC665" s="169"/>
      <c r="AD665" s="169"/>
      <c r="AE665" s="169"/>
      <c r="AF665" s="169"/>
      <c r="AG665" s="169"/>
      <c r="AH665" s="169"/>
    </row>
    <row r="666" ht="15.75" customHeight="1">
      <c r="A666" s="169"/>
      <c r="B666" s="38" t="s">
        <v>2020</v>
      </c>
      <c r="C666" s="191" t="s">
        <v>3224</v>
      </c>
      <c r="D666" s="40" t="s">
        <v>4570</v>
      </c>
      <c r="E666" s="38"/>
      <c r="F666" s="38"/>
      <c r="G666" s="38"/>
      <c r="H666" s="48" t="s">
        <v>4573</v>
      </c>
      <c r="I666" s="188">
        <v>45566.0</v>
      </c>
      <c r="J666" s="188">
        <v>45566.0</v>
      </c>
      <c r="K666" s="189">
        <v>9020.0</v>
      </c>
      <c r="L666" s="206"/>
      <c r="M666" s="191" t="s">
        <v>2530</v>
      </c>
      <c r="N666" s="48" t="s">
        <v>2532</v>
      </c>
      <c r="O666" s="169"/>
      <c r="P666" s="169"/>
      <c r="Q666" s="169"/>
      <c r="R666" s="169"/>
      <c r="S666" s="169"/>
      <c r="T666" s="169"/>
      <c r="U666" s="169"/>
      <c r="V666" s="169"/>
      <c r="W666" s="169"/>
      <c r="X666" s="169"/>
      <c r="Y666" s="169"/>
      <c r="Z666" s="169"/>
      <c r="AA666" s="169"/>
      <c r="AB666" s="169"/>
      <c r="AC666" s="169"/>
      <c r="AD666" s="169"/>
      <c r="AE666" s="169"/>
      <c r="AF666" s="169"/>
      <c r="AG666" s="169"/>
      <c r="AH666" s="169"/>
    </row>
    <row r="667" ht="31.5" customHeight="1">
      <c r="A667" s="169"/>
      <c r="B667" s="38" t="s">
        <v>1170</v>
      </c>
      <c r="C667" s="191" t="s">
        <v>4574</v>
      </c>
      <c r="D667" s="40" t="s">
        <v>1172</v>
      </c>
      <c r="E667" s="38"/>
      <c r="F667" s="38"/>
      <c r="G667" s="38"/>
      <c r="H667" s="48" t="s">
        <v>4575</v>
      </c>
      <c r="I667" s="188">
        <v>45566.0</v>
      </c>
      <c r="J667" s="188">
        <v>45930.0</v>
      </c>
      <c r="K667" s="189">
        <v>1687.0</v>
      </c>
      <c r="L667" s="206"/>
      <c r="M667" s="191" t="s">
        <v>1171</v>
      </c>
      <c r="N667" s="48" t="s">
        <v>1173</v>
      </c>
      <c r="O667" s="169"/>
      <c r="P667" s="169"/>
      <c r="Q667" s="169"/>
      <c r="R667" s="169"/>
      <c r="S667" s="169"/>
      <c r="T667" s="169"/>
      <c r="U667" s="169"/>
      <c r="V667" s="169"/>
      <c r="W667" s="169"/>
      <c r="X667" s="169"/>
      <c r="Y667" s="169"/>
      <c r="Z667" s="169"/>
      <c r="AA667" s="169"/>
      <c r="AB667" s="169"/>
      <c r="AC667" s="169"/>
      <c r="AD667" s="169"/>
      <c r="AE667" s="169"/>
      <c r="AF667" s="169"/>
      <c r="AG667" s="169"/>
      <c r="AH667" s="169"/>
    </row>
    <row r="668" ht="31.5" customHeight="1">
      <c r="A668" s="169"/>
      <c r="B668" s="38" t="s">
        <v>23</v>
      </c>
      <c r="C668" s="191" t="s">
        <v>1927</v>
      </c>
      <c r="D668" s="40" t="s">
        <v>1928</v>
      </c>
      <c r="E668" s="38"/>
      <c r="F668" s="38"/>
      <c r="G668" s="38"/>
      <c r="H668" s="48" t="s">
        <v>1930</v>
      </c>
      <c r="I668" s="188">
        <v>45566.0</v>
      </c>
      <c r="J668" s="205">
        <f>I668+65</f>
        <v>45631</v>
      </c>
      <c r="K668" s="189">
        <v>58.0</v>
      </c>
      <c r="L668" s="206"/>
      <c r="M668" s="191" t="s">
        <v>2893</v>
      </c>
      <c r="N668" s="48"/>
      <c r="O668" s="169"/>
      <c r="P668" s="169"/>
      <c r="Q668" s="169"/>
      <c r="R668" s="169"/>
      <c r="S668" s="169"/>
      <c r="T668" s="169"/>
      <c r="U668" s="169"/>
      <c r="V668" s="169"/>
      <c r="W668" s="169"/>
      <c r="X668" s="169"/>
      <c r="Y668" s="169"/>
      <c r="Z668" s="169"/>
      <c r="AA668" s="169"/>
      <c r="AB668" s="169"/>
      <c r="AC668" s="169"/>
      <c r="AD668" s="169"/>
      <c r="AE668" s="169"/>
      <c r="AF668" s="169"/>
      <c r="AG668" s="169"/>
      <c r="AH668" s="169"/>
    </row>
    <row r="669" ht="15.75" customHeight="1">
      <c r="A669" s="169"/>
      <c r="B669" s="38" t="s">
        <v>1031</v>
      </c>
      <c r="C669" s="191" t="s">
        <v>4576</v>
      </c>
      <c r="D669" s="40" t="s">
        <v>4577</v>
      </c>
      <c r="E669" s="38" t="s">
        <v>168</v>
      </c>
      <c r="F669" s="38" t="s">
        <v>1047</v>
      </c>
      <c r="G669" s="38" t="s">
        <v>1035</v>
      </c>
      <c r="H669" s="48" t="s">
        <v>4578</v>
      </c>
      <c r="I669" s="188">
        <v>45566.0</v>
      </c>
      <c r="J669" s="188">
        <v>46021.0</v>
      </c>
      <c r="K669" s="189">
        <v>5890.0</v>
      </c>
      <c r="L669" s="206"/>
      <c r="M669" s="191" t="s">
        <v>2893</v>
      </c>
      <c r="N669" s="48"/>
      <c r="O669" s="169"/>
      <c r="P669" s="169"/>
      <c r="Q669" s="169"/>
      <c r="R669" s="169"/>
      <c r="S669" s="169"/>
      <c r="T669" s="169"/>
      <c r="U669" s="169"/>
      <c r="V669" s="169"/>
      <c r="W669" s="169"/>
      <c r="X669" s="169"/>
      <c r="Y669" s="169"/>
      <c r="Z669" s="169"/>
      <c r="AA669" s="169"/>
      <c r="AB669" s="169"/>
      <c r="AC669" s="169"/>
      <c r="AD669" s="169"/>
      <c r="AE669" s="169"/>
      <c r="AF669" s="169"/>
      <c r="AG669" s="169"/>
      <c r="AH669" s="169"/>
    </row>
    <row r="670" ht="15.75" customHeight="1">
      <c r="A670" s="169"/>
      <c r="B670" s="38" t="s">
        <v>1031</v>
      </c>
      <c r="C670" s="191" t="s">
        <v>4579</v>
      </c>
      <c r="D670" s="40" t="s">
        <v>4556</v>
      </c>
      <c r="E670" s="38" t="s">
        <v>168</v>
      </c>
      <c r="F670" s="38" t="s">
        <v>1041</v>
      </c>
      <c r="G670" s="38" t="s">
        <v>1035</v>
      </c>
      <c r="H670" s="48" t="s">
        <v>4580</v>
      </c>
      <c r="I670" s="188">
        <v>45566.0</v>
      </c>
      <c r="J670" s="188">
        <v>45777.0</v>
      </c>
      <c r="K670" s="189">
        <v>7300.0</v>
      </c>
      <c r="L670" s="206"/>
      <c r="M670" s="191" t="s">
        <v>1039</v>
      </c>
      <c r="N670" s="48" t="s">
        <v>4581</v>
      </c>
      <c r="O670" s="169"/>
      <c r="P670" s="169"/>
      <c r="Q670" s="169"/>
      <c r="R670" s="169"/>
      <c r="S670" s="169"/>
      <c r="T670" s="169"/>
      <c r="U670" s="169"/>
      <c r="V670" s="169"/>
      <c r="W670" s="169"/>
      <c r="X670" s="169"/>
      <c r="Y670" s="169"/>
      <c r="Z670" s="169"/>
      <c r="AA670" s="169"/>
      <c r="AB670" s="169"/>
      <c r="AC670" s="169"/>
      <c r="AD670" s="169"/>
      <c r="AE670" s="169"/>
      <c r="AF670" s="169"/>
      <c r="AG670" s="169"/>
      <c r="AH670" s="169"/>
    </row>
    <row r="671" ht="31.5" customHeight="1">
      <c r="A671" s="169"/>
      <c r="B671" s="38" t="s">
        <v>23</v>
      </c>
      <c r="C671" s="191" t="s">
        <v>4582</v>
      </c>
      <c r="D671" s="40" t="s">
        <v>1532</v>
      </c>
      <c r="E671" s="38"/>
      <c r="F671" s="38"/>
      <c r="G671" s="38"/>
      <c r="H671" s="48" t="s">
        <v>4583</v>
      </c>
      <c r="I671" s="188">
        <v>45597.0</v>
      </c>
      <c r="J671" s="188">
        <v>45627.0</v>
      </c>
      <c r="K671" s="189">
        <v>46.0</v>
      </c>
      <c r="L671" s="206"/>
      <c r="M671" s="191" t="s">
        <v>2893</v>
      </c>
      <c r="N671" s="48"/>
      <c r="O671" s="169"/>
      <c r="P671" s="169"/>
      <c r="Q671" s="169"/>
      <c r="R671" s="169"/>
      <c r="S671" s="169"/>
      <c r="T671" s="169"/>
      <c r="U671" s="169"/>
      <c r="V671" s="169"/>
      <c r="W671" s="169"/>
      <c r="X671" s="169"/>
      <c r="Y671" s="169"/>
      <c r="Z671" s="169"/>
      <c r="AA671" s="169"/>
      <c r="AB671" s="169"/>
      <c r="AC671" s="169"/>
      <c r="AD671" s="169"/>
      <c r="AE671" s="169"/>
      <c r="AF671" s="169"/>
      <c r="AG671" s="169"/>
      <c r="AH671" s="169"/>
    </row>
    <row r="672" ht="15.75" customHeight="1">
      <c r="A672" s="169"/>
      <c r="B672" s="38" t="s">
        <v>2222</v>
      </c>
      <c r="C672" s="191" t="s">
        <v>2223</v>
      </c>
      <c r="D672" s="40" t="s">
        <v>2224</v>
      </c>
      <c r="E672" s="38"/>
      <c r="F672" s="38"/>
      <c r="G672" s="38"/>
      <c r="H672" s="48" t="s">
        <v>3815</v>
      </c>
      <c r="I672" s="188">
        <v>45597.0</v>
      </c>
      <c r="J672" s="205">
        <f t="shared" ref="J672:J691" si="1">I672+65</f>
        <v>45662</v>
      </c>
      <c r="K672" s="189">
        <v>2182.0</v>
      </c>
      <c r="L672" s="206"/>
      <c r="M672" s="191" t="s">
        <v>2278</v>
      </c>
      <c r="N672" s="48" t="s">
        <v>4584</v>
      </c>
      <c r="O672" s="169"/>
      <c r="P672" s="169"/>
      <c r="Q672" s="169"/>
      <c r="R672" s="169"/>
      <c r="S672" s="169"/>
      <c r="T672" s="169"/>
      <c r="U672" s="169"/>
      <c r="V672" s="169"/>
      <c r="W672" s="169"/>
      <c r="X672" s="169"/>
      <c r="Y672" s="169"/>
      <c r="Z672" s="169"/>
      <c r="AA672" s="169"/>
      <c r="AB672" s="169"/>
      <c r="AC672" s="169"/>
      <c r="AD672" s="169"/>
      <c r="AE672" s="169"/>
      <c r="AF672" s="169"/>
      <c r="AG672" s="169"/>
      <c r="AH672" s="169"/>
    </row>
    <row r="673" ht="15.75" customHeight="1">
      <c r="A673" s="169"/>
      <c r="B673" s="38" t="s">
        <v>2222</v>
      </c>
      <c r="C673" s="191" t="s">
        <v>2227</v>
      </c>
      <c r="D673" s="40" t="s">
        <v>2228</v>
      </c>
      <c r="E673" s="38"/>
      <c r="F673" s="38"/>
      <c r="G673" s="38"/>
      <c r="H673" s="48" t="s">
        <v>2230</v>
      </c>
      <c r="I673" s="188">
        <v>45597.0</v>
      </c>
      <c r="J673" s="205">
        <f t="shared" si="1"/>
        <v>45662</v>
      </c>
      <c r="K673" s="189">
        <v>2402.0</v>
      </c>
      <c r="L673" s="206"/>
      <c r="M673" s="191" t="s">
        <v>2278</v>
      </c>
      <c r="N673" s="48" t="s">
        <v>4584</v>
      </c>
      <c r="O673" s="169"/>
      <c r="P673" s="169"/>
      <c r="Q673" s="169"/>
      <c r="R673" s="169"/>
      <c r="S673" s="169"/>
      <c r="T673" s="169"/>
      <c r="U673" s="169"/>
      <c r="V673" s="169"/>
      <c r="W673" s="169"/>
      <c r="X673" s="169"/>
      <c r="Y673" s="169"/>
      <c r="Z673" s="169"/>
      <c r="AA673" s="169"/>
      <c r="AB673" s="169"/>
      <c r="AC673" s="169"/>
      <c r="AD673" s="169"/>
      <c r="AE673" s="169"/>
      <c r="AF673" s="169"/>
      <c r="AG673" s="169"/>
      <c r="AH673" s="169"/>
    </row>
    <row r="674" ht="15.75" customHeight="1">
      <c r="A674" s="169"/>
      <c r="B674" s="38" t="s">
        <v>2222</v>
      </c>
      <c r="C674" s="191" t="s">
        <v>2231</v>
      </c>
      <c r="D674" s="40" t="s">
        <v>2232</v>
      </c>
      <c r="E674" s="38"/>
      <c r="F674" s="38"/>
      <c r="G674" s="38"/>
      <c r="H674" s="48" t="s">
        <v>2234</v>
      </c>
      <c r="I674" s="188">
        <v>45597.0</v>
      </c>
      <c r="J674" s="205">
        <f t="shared" si="1"/>
        <v>45662</v>
      </c>
      <c r="K674" s="189">
        <v>2582.0</v>
      </c>
      <c r="L674" s="206"/>
      <c r="M674" s="191" t="s">
        <v>2278</v>
      </c>
      <c r="N674" s="48" t="s">
        <v>4584</v>
      </c>
      <c r="O674" s="169"/>
      <c r="P674" s="169"/>
      <c r="Q674" s="169"/>
      <c r="R674" s="169"/>
      <c r="S674" s="169"/>
      <c r="T674" s="169"/>
      <c r="U674" s="169"/>
      <c r="V674" s="169"/>
      <c r="W674" s="169"/>
      <c r="X674" s="169"/>
      <c r="Y674" s="169"/>
      <c r="Z674" s="169"/>
      <c r="AA674" s="169"/>
      <c r="AB674" s="169"/>
      <c r="AC674" s="169"/>
      <c r="AD674" s="169"/>
      <c r="AE674" s="169"/>
      <c r="AF674" s="169"/>
      <c r="AG674" s="169"/>
      <c r="AH674" s="169"/>
    </row>
    <row r="675" ht="15.75" customHeight="1">
      <c r="A675" s="169"/>
      <c r="B675" s="38" t="s">
        <v>2222</v>
      </c>
      <c r="C675" s="191" t="s">
        <v>2235</v>
      </c>
      <c r="D675" s="40" t="s">
        <v>2236</v>
      </c>
      <c r="E675" s="38"/>
      <c r="F675" s="38"/>
      <c r="G675" s="38"/>
      <c r="H675" s="48" t="s">
        <v>2238</v>
      </c>
      <c r="I675" s="188">
        <v>45597.0</v>
      </c>
      <c r="J675" s="205">
        <f t="shared" si="1"/>
        <v>45662</v>
      </c>
      <c r="K675" s="189">
        <v>2612.0</v>
      </c>
      <c r="L675" s="206"/>
      <c r="M675" s="191" t="s">
        <v>2281</v>
      </c>
      <c r="N675" s="48" t="s">
        <v>4585</v>
      </c>
      <c r="O675" s="169"/>
      <c r="P675" s="169"/>
      <c r="Q675" s="169"/>
      <c r="R675" s="169"/>
      <c r="S675" s="169"/>
      <c r="T675" s="169"/>
      <c r="U675" s="169"/>
      <c r="V675" s="169"/>
      <c r="W675" s="169"/>
      <c r="X675" s="169"/>
      <c r="Y675" s="169"/>
      <c r="Z675" s="169"/>
      <c r="AA675" s="169"/>
      <c r="AB675" s="169"/>
      <c r="AC675" s="169"/>
      <c r="AD675" s="169"/>
      <c r="AE675" s="169"/>
      <c r="AF675" s="169"/>
      <c r="AG675" s="169"/>
      <c r="AH675" s="169"/>
    </row>
    <row r="676" ht="15.75" customHeight="1">
      <c r="A676" s="169"/>
      <c r="B676" s="38" t="s">
        <v>2222</v>
      </c>
      <c r="C676" s="191" t="s">
        <v>2239</v>
      </c>
      <c r="D676" s="40" t="s">
        <v>2240</v>
      </c>
      <c r="E676" s="38"/>
      <c r="F676" s="38"/>
      <c r="G676" s="38"/>
      <c r="H676" s="48" t="s">
        <v>4586</v>
      </c>
      <c r="I676" s="188">
        <v>45597.0</v>
      </c>
      <c r="J676" s="205">
        <f t="shared" si="1"/>
        <v>45662</v>
      </c>
      <c r="K676" s="189">
        <v>2714.0</v>
      </c>
      <c r="L676" s="206"/>
      <c r="M676" s="191" t="s">
        <v>2281</v>
      </c>
      <c r="N676" s="48" t="s">
        <v>4585</v>
      </c>
      <c r="O676" s="169"/>
      <c r="P676" s="169"/>
      <c r="Q676" s="169"/>
      <c r="R676" s="169"/>
      <c r="S676" s="169"/>
      <c r="T676" s="169"/>
      <c r="U676" s="169"/>
      <c r="V676" s="169"/>
      <c r="W676" s="169"/>
      <c r="X676" s="169"/>
      <c r="Y676" s="169"/>
      <c r="Z676" s="169"/>
      <c r="AA676" s="169"/>
      <c r="AB676" s="169"/>
      <c r="AC676" s="169"/>
      <c r="AD676" s="169"/>
      <c r="AE676" s="169"/>
      <c r="AF676" s="169"/>
      <c r="AG676" s="169"/>
      <c r="AH676" s="169"/>
    </row>
    <row r="677" ht="15.75" customHeight="1">
      <c r="A677" s="169"/>
      <c r="B677" s="38" t="s">
        <v>2222</v>
      </c>
      <c r="C677" s="191" t="s">
        <v>2243</v>
      </c>
      <c r="D677" s="40" t="s">
        <v>2244</v>
      </c>
      <c r="E677" s="38"/>
      <c r="F677" s="38"/>
      <c r="G677" s="38"/>
      <c r="H677" s="48" t="s">
        <v>2246</v>
      </c>
      <c r="I677" s="188">
        <v>45597.0</v>
      </c>
      <c r="J677" s="205">
        <f t="shared" si="1"/>
        <v>45662</v>
      </c>
      <c r="K677" s="189">
        <v>2934.0</v>
      </c>
      <c r="L677" s="206"/>
      <c r="M677" s="191" t="s">
        <v>2281</v>
      </c>
      <c r="N677" s="48" t="s">
        <v>4585</v>
      </c>
      <c r="O677" s="169"/>
      <c r="P677" s="169"/>
      <c r="Q677" s="169"/>
      <c r="R677" s="169"/>
      <c r="S677" s="169"/>
      <c r="T677" s="169"/>
      <c r="U677" s="169"/>
      <c r="V677" s="169"/>
      <c r="W677" s="169"/>
      <c r="X677" s="169"/>
      <c r="Y677" s="169"/>
      <c r="Z677" s="169"/>
      <c r="AA677" s="169"/>
      <c r="AB677" s="169"/>
      <c r="AC677" s="169"/>
      <c r="AD677" s="169"/>
      <c r="AE677" s="169"/>
      <c r="AF677" s="169"/>
      <c r="AG677" s="169"/>
      <c r="AH677" s="169"/>
    </row>
    <row r="678" ht="15.75" customHeight="1">
      <c r="A678" s="169"/>
      <c r="B678" s="38" t="s">
        <v>2222</v>
      </c>
      <c r="C678" s="191" t="s">
        <v>2247</v>
      </c>
      <c r="D678" s="40" t="s">
        <v>2248</v>
      </c>
      <c r="E678" s="38"/>
      <c r="F678" s="38"/>
      <c r="G678" s="38"/>
      <c r="H678" s="48" t="s">
        <v>2250</v>
      </c>
      <c r="I678" s="188">
        <v>45597.0</v>
      </c>
      <c r="J678" s="205">
        <f t="shared" si="1"/>
        <v>45662</v>
      </c>
      <c r="K678" s="189">
        <v>3120.0</v>
      </c>
      <c r="L678" s="206"/>
      <c r="M678" s="191" t="s">
        <v>2281</v>
      </c>
      <c r="N678" s="48" t="s">
        <v>4585</v>
      </c>
      <c r="O678" s="169"/>
      <c r="P678" s="169"/>
      <c r="Q678" s="169"/>
      <c r="R678" s="169"/>
      <c r="S678" s="169"/>
      <c r="T678" s="169"/>
      <c r="U678" s="169"/>
      <c r="V678" s="169"/>
      <c r="W678" s="169"/>
      <c r="X678" s="169"/>
      <c r="Y678" s="169"/>
      <c r="Z678" s="169"/>
      <c r="AA678" s="169"/>
      <c r="AB678" s="169"/>
      <c r="AC678" s="169"/>
      <c r="AD678" s="169"/>
      <c r="AE678" s="169"/>
      <c r="AF678" s="169"/>
      <c r="AG678" s="169"/>
      <c r="AH678" s="169"/>
    </row>
    <row r="679" ht="15.75" customHeight="1">
      <c r="A679" s="169"/>
      <c r="B679" s="38" t="s">
        <v>2222</v>
      </c>
      <c r="C679" s="191" t="s">
        <v>2251</v>
      </c>
      <c r="D679" s="40" t="s">
        <v>2252</v>
      </c>
      <c r="E679" s="38"/>
      <c r="F679" s="38"/>
      <c r="G679" s="38"/>
      <c r="H679" s="48" t="s">
        <v>2254</v>
      </c>
      <c r="I679" s="188">
        <v>45597.0</v>
      </c>
      <c r="J679" s="205">
        <f t="shared" si="1"/>
        <v>45662</v>
      </c>
      <c r="K679" s="189">
        <v>3180.0</v>
      </c>
      <c r="L679" s="206"/>
      <c r="M679" s="191" t="s">
        <v>2281</v>
      </c>
      <c r="N679" s="48" t="s">
        <v>4585</v>
      </c>
      <c r="O679" s="169"/>
      <c r="P679" s="169"/>
      <c r="Q679" s="169"/>
      <c r="R679" s="169"/>
      <c r="S679" s="169"/>
      <c r="T679" s="169"/>
      <c r="U679" s="169"/>
      <c r="V679" s="169"/>
      <c r="W679" s="169"/>
      <c r="X679" s="169"/>
      <c r="Y679" s="169"/>
      <c r="Z679" s="169"/>
      <c r="AA679" s="169"/>
      <c r="AB679" s="169"/>
      <c r="AC679" s="169"/>
      <c r="AD679" s="169"/>
      <c r="AE679" s="169"/>
      <c r="AF679" s="169"/>
      <c r="AG679" s="169"/>
      <c r="AH679" s="169"/>
    </row>
    <row r="680" ht="15.75" customHeight="1">
      <c r="A680" s="169"/>
      <c r="B680" s="38" t="s">
        <v>2222</v>
      </c>
      <c r="C680" s="191" t="s">
        <v>2255</v>
      </c>
      <c r="D680" s="40" t="s">
        <v>2256</v>
      </c>
      <c r="E680" s="38"/>
      <c r="F680" s="38"/>
      <c r="G680" s="38"/>
      <c r="H680" s="48" t="s">
        <v>4587</v>
      </c>
      <c r="I680" s="188">
        <v>45597.0</v>
      </c>
      <c r="J680" s="205">
        <f t="shared" si="1"/>
        <v>45662</v>
      </c>
      <c r="K680" s="189">
        <v>3778.0</v>
      </c>
      <c r="L680" s="206"/>
      <c r="M680" s="191" t="s">
        <v>2284</v>
      </c>
      <c r="N680" s="48" t="s">
        <v>4588</v>
      </c>
      <c r="O680" s="169"/>
      <c r="P680" s="169"/>
      <c r="Q680" s="169"/>
      <c r="R680" s="169"/>
      <c r="S680" s="169"/>
      <c r="T680" s="169"/>
      <c r="U680" s="169"/>
      <c r="V680" s="169"/>
      <c r="W680" s="169"/>
      <c r="X680" s="169"/>
      <c r="Y680" s="169"/>
      <c r="Z680" s="169"/>
      <c r="AA680" s="169"/>
      <c r="AB680" s="169"/>
      <c r="AC680" s="169"/>
      <c r="AD680" s="169"/>
      <c r="AE680" s="169"/>
      <c r="AF680" s="169"/>
      <c r="AG680" s="169"/>
      <c r="AH680" s="169"/>
    </row>
    <row r="681" ht="15.75" customHeight="1">
      <c r="A681" s="169"/>
      <c r="B681" s="38" t="s">
        <v>2222</v>
      </c>
      <c r="C681" s="191" t="s">
        <v>2259</v>
      </c>
      <c r="D681" s="40" t="s">
        <v>2260</v>
      </c>
      <c r="E681" s="38"/>
      <c r="F681" s="38"/>
      <c r="G681" s="38"/>
      <c r="H681" s="48" t="s">
        <v>2262</v>
      </c>
      <c r="I681" s="188">
        <v>45597.0</v>
      </c>
      <c r="J681" s="205">
        <f t="shared" si="1"/>
        <v>45662</v>
      </c>
      <c r="K681" s="189">
        <v>3998.0</v>
      </c>
      <c r="L681" s="206"/>
      <c r="M681" s="191" t="s">
        <v>2284</v>
      </c>
      <c r="N681" s="48" t="s">
        <v>4588</v>
      </c>
      <c r="O681" s="169"/>
      <c r="P681" s="169"/>
      <c r="Q681" s="169"/>
      <c r="R681" s="169"/>
      <c r="S681" s="169"/>
      <c r="T681" s="169"/>
      <c r="U681" s="169"/>
      <c r="V681" s="169"/>
      <c r="W681" s="169"/>
      <c r="X681" s="169"/>
      <c r="Y681" s="169"/>
      <c r="Z681" s="169"/>
      <c r="AA681" s="169"/>
      <c r="AB681" s="169"/>
      <c r="AC681" s="169"/>
      <c r="AD681" s="169"/>
      <c r="AE681" s="169"/>
      <c r="AF681" s="169"/>
      <c r="AG681" s="169"/>
      <c r="AH681" s="169"/>
    </row>
    <row r="682" ht="15.75" customHeight="1">
      <c r="A682" s="169"/>
      <c r="B682" s="38" t="s">
        <v>2222</v>
      </c>
      <c r="C682" s="191" t="s">
        <v>2263</v>
      </c>
      <c r="D682" s="40" t="s">
        <v>2264</v>
      </c>
      <c r="E682" s="38"/>
      <c r="F682" s="38"/>
      <c r="G682" s="38"/>
      <c r="H682" s="48" t="s">
        <v>2266</v>
      </c>
      <c r="I682" s="188">
        <v>45597.0</v>
      </c>
      <c r="J682" s="205">
        <f t="shared" si="1"/>
        <v>45662</v>
      </c>
      <c r="K682" s="189">
        <v>4270.0</v>
      </c>
      <c r="L682" s="206"/>
      <c r="M682" s="191" t="s">
        <v>2284</v>
      </c>
      <c r="N682" s="48" t="s">
        <v>4588</v>
      </c>
      <c r="O682" s="169"/>
      <c r="P682" s="169"/>
      <c r="Q682" s="169"/>
      <c r="R682" s="169"/>
      <c r="S682" s="169"/>
      <c r="T682" s="169"/>
      <c r="U682" s="169"/>
      <c r="V682" s="169"/>
      <c r="W682" s="169"/>
      <c r="X682" s="169"/>
      <c r="Y682" s="169"/>
      <c r="Z682" s="169"/>
      <c r="AA682" s="169"/>
      <c r="AB682" s="169"/>
      <c r="AC682" s="169"/>
      <c r="AD682" s="169"/>
      <c r="AE682" s="169"/>
      <c r="AF682" s="169"/>
      <c r="AG682" s="169"/>
      <c r="AH682" s="169"/>
    </row>
    <row r="683" ht="15.75" customHeight="1">
      <c r="A683" s="169"/>
      <c r="B683" s="38" t="s">
        <v>2222</v>
      </c>
      <c r="C683" s="191" t="s">
        <v>2267</v>
      </c>
      <c r="D683" s="40" t="s">
        <v>2268</v>
      </c>
      <c r="E683" s="38"/>
      <c r="F683" s="38"/>
      <c r="G683" s="38"/>
      <c r="H683" s="48" t="s">
        <v>2270</v>
      </c>
      <c r="I683" s="188">
        <v>45597.0</v>
      </c>
      <c r="J683" s="205">
        <f t="shared" si="1"/>
        <v>45662</v>
      </c>
      <c r="K683" s="189">
        <v>4330.0</v>
      </c>
      <c r="L683" s="206"/>
      <c r="M683" s="191" t="s">
        <v>2284</v>
      </c>
      <c r="N683" s="48" t="s">
        <v>4588</v>
      </c>
      <c r="O683" s="169"/>
      <c r="P683" s="169"/>
      <c r="Q683" s="169"/>
      <c r="R683" s="169"/>
      <c r="S683" s="169"/>
      <c r="T683" s="169"/>
      <c r="U683" s="169"/>
      <c r="V683" s="169"/>
      <c r="W683" s="169"/>
      <c r="X683" s="169"/>
      <c r="Y683" s="169"/>
      <c r="Z683" s="169"/>
      <c r="AA683" s="169"/>
      <c r="AB683" s="169"/>
      <c r="AC683" s="169"/>
      <c r="AD683" s="169"/>
      <c r="AE683" s="169"/>
      <c r="AF683" s="169"/>
      <c r="AG683" s="169"/>
      <c r="AH683" s="169"/>
    </row>
    <row r="684" ht="15.75" customHeight="1">
      <c r="A684" s="169"/>
      <c r="B684" s="38" t="s">
        <v>2222</v>
      </c>
      <c r="C684" s="191" t="s">
        <v>2271</v>
      </c>
      <c r="D684" s="40" t="s">
        <v>2272</v>
      </c>
      <c r="E684" s="38"/>
      <c r="F684" s="38"/>
      <c r="G684" s="38"/>
      <c r="H684" s="48" t="s">
        <v>2274</v>
      </c>
      <c r="I684" s="188">
        <v>45597.0</v>
      </c>
      <c r="J684" s="205">
        <f t="shared" si="1"/>
        <v>45662</v>
      </c>
      <c r="K684" s="189">
        <v>5330.0</v>
      </c>
      <c r="L684" s="206"/>
      <c r="M684" s="191" t="s">
        <v>2284</v>
      </c>
      <c r="N684" s="48" t="s">
        <v>4588</v>
      </c>
      <c r="O684" s="169"/>
      <c r="P684" s="169"/>
      <c r="Q684" s="169"/>
      <c r="R684" s="169"/>
      <c r="S684" s="169"/>
      <c r="T684" s="169"/>
      <c r="U684" s="169"/>
      <c r="V684" s="169"/>
      <c r="W684" s="169"/>
      <c r="X684" s="169"/>
      <c r="Y684" s="169"/>
      <c r="Z684" s="169"/>
      <c r="AA684" s="169"/>
      <c r="AB684" s="169"/>
      <c r="AC684" s="169"/>
      <c r="AD684" s="169"/>
      <c r="AE684" s="169"/>
      <c r="AF684" s="169"/>
      <c r="AG684" s="169"/>
      <c r="AH684" s="169"/>
    </row>
    <row r="685" ht="15.75" customHeight="1">
      <c r="A685" s="169"/>
      <c r="B685" s="38" t="s">
        <v>2222</v>
      </c>
      <c r="C685" s="191" t="s">
        <v>3830</v>
      </c>
      <c r="D685" s="40" t="s">
        <v>4589</v>
      </c>
      <c r="E685" s="38"/>
      <c r="F685" s="38"/>
      <c r="G685" s="38"/>
      <c r="H685" s="48" t="s">
        <v>3831</v>
      </c>
      <c r="I685" s="188">
        <v>45597.0</v>
      </c>
      <c r="J685" s="205">
        <f t="shared" si="1"/>
        <v>45662</v>
      </c>
      <c r="K685" s="189">
        <v>1782.0</v>
      </c>
      <c r="L685" s="206"/>
      <c r="M685" s="191" t="s">
        <v>2278</v>
      </c>
      <c r="N685" s="48" t="s">
        <v>4584</v>
      </c>
      <c r="O685" s="169"/>
      <c r="P685" s="169"/>
      <c r="Q685" s="169"/>
      <c r="R685" s="169"/>
      <c r="S685" s="169"/>
      <c r="T685" s="169"/>
      <c r="U685" s="169"/>
      <c r="V685" s="169"/>
      <c r="W685" s="169"/>
      <c r="X685" s="169"/>
      <c r="Y685" s="169"/>
      <c r="Z685" s="169"/>
      <c r="AA685" s="169"/>
      <c r="AB685" s="169"/>
      <c r="AC685" s="169"/>
      <c r="AD685" s="169"/>
      <c r="AE685" s="169"/>
      <c r="AF685" s="169"/>
      <c r="AG685" s="169"/>
      <c r="AH685" s="169"/>
    </row>
    <row r="686" ht="15.75" customHeight="1">
      <c r="A686" s="169"/>
      <c r="B686" s="38" t="s">
        <v>2222</v>
      </c>
      <c r="C686" s="191" t="s">
        <v>4590</v>
      </c>
      <c r="D686" s="40" t="s">
        <v>4591</v>
      </c>
      <c r="E686" s="38"/>
      <c r="F686" s="38"/>
      <c r="G686" s="38"/>
      <c r="H686" s="48" t="s">
        <v>3825</v>
      </c>
      <c r="I686" s="188">
        <v>45597.0</v>
      </c>
      <c r="J686" s="205">
        <f t="shared" si="1"/>
        <v>45662</v>
      </c>
      <c r="K686" s="189">
        <v>2002.0</v>
      </c>
      <c r="L686" s="206"/>
      <c r="M686" s="191" t="s">
        <v>2278</v>
      </c>
      <c r="N686" s="48" t="s">
        <v>4584</v>
      </c>
      <c r="O686" s="169"/>
      <c r="P686" s="169"/>
      <c r="Q686" s="169"/>
      <c r="R686" s="169"/>
      <c r="S686" s="169"/>
      <c r="T686" s="169"/>
      <c r="U686" s="169"/>
      <c r="V686" s="169"/>
      <c r="W686" s="169"/>
      <c r="X686" s="169"/>
      <c r="Y686" s="169"/>
      <c r="Z686" s="169"/>
      <c r="AA686" s="169"/>
      <c r="AB686" s="169"/>
      <c r="AC686" s="169"/>
      <c r="AD686" s="169"/>
      <c r="AE686" s="169"/>
      <c r="AF686" s="169"/>
      <c r="AG686" s="169"/>
      <c r="AH686" s="169"/>
    </row>
    <row r="687" ht="15.75" customHeight="1">
      <c r="A687" s="169"/>
      <c r="B687" s="38" t="s">
        <v>2222</v>
      </c>
      <c r="C687" s="191" t="s">
        <v>4496</v>
      </c>
      <c r="D687" s="40" t="s">
        <v>4494</v>
      </c>
      <c r="E687" s="38"/>
      <c r="F687" s="38"/>
      <c r="G687" s="38"/>
      <c r="H687" s="48" t="s">
        <v>4497</v>
      </c>
      <c r="I687" s="188">
        <v>45597.0</v>
      </c>
      <c r="J687" s="205">
        <f t="shared" si="1"/>
        <v>45662</v>
      </c>
      <c r="K687" s="189">
        <v>2182.0</v>
      </c>
      <c r="L687" s="206"/>
      <c r="M687" s="191" t="s">
        <v>2278</v>
      </c>
      <c r="N687" s="48" t="s">
        <v>4584</v>
      </c>
      <c r="O687" s="169"/>
      <c r="P687" s="169"/>
      <c r="Q687" s="169"/>
      <c r="R687" s="169"/>
      <c r="S687" s="169"/>
      <c r="T687" s="169"/>
      <c r="U687" s="169"/>
      <c r="V687" s="169"/>
      <c r="W687" s="169"/>
      <c r="X687" s="169"/>
      <c r="Y687" s="169"/>
      <c r="Z687" s="169"/>
      <c r="AA687" s="169"/>
      <c r="AB687" s="169"/>
      <c r="AC687" s="169"/>
      <c r="AD687" s="169"/>
      <c r="AE687" s="169"/>
      <c r="AF687" s="169"/>
      <c r="AG687" s="169"/>
      <c r="AH687" s="169"/>
    </row>
    <row r="688" ht="15.75" customHeight="1">
      <c r="A688" s="169"/>
      <c r="B688" s="38" t="s">
        <v>2222</v>
      </c>
      <c r="C688" s="191" t="s">
        <v>4592</v>
      </c>
      <c r="D688" s="40" t="s">
        <v>4593</v>
      </c>
      <c r="E688" s="38"/>
      <c r="F688" s="38"/>
      <c r="G688" s="38"/>
      <c r="H688" s="48" t="s">
        <v>4594</v>
      </c>
      <c r="I688" s="188">
        <v>45597.0</v>
      </c>
      <c r="J688" s="205">
        <f t="shared" si="1"/>
        <v>45662</v>
      </c>
      <c r="K688" s="189">
        <v>2314.0</v>
      </c>
      <c r="L688" s="206"/>
      <c r="M688" s="191" t="s">
        <v>2281</v>
      </c>
      <c r="N688" s="48" t="s">
        <v>4585</v>
      </c>
      <c r="O688" s="169"/>
      <c r="P688" s="169"/>
      <c r="Q688" s="169"/>
      <c r="R688" s="169"/>
      <c r="S688" s="169"/>
      <c r="T688" s="169"/>
      <c r="U688" s="169"/>
      <c r="V688" s="169"/>
      <c r="W688" s="169"/>
      <c r="X688" s="169"/>
      <c r="Y688" s="169"/>
      <c r="Z688" s="169"/>
      <c r="AA688" s="169"/>
      <c r="AB688" s="169"/>
      <c r="AC688" s="169"/>
      <c r="AD688" s="169"/>
      <c r="AE688" s="169"/>
      <c r="AF688" s="169"/>
      <c r="AG688" s="169"/>
      <c r="AH688" s="169"/>
    </row>
    <row r="689" ht="15.75" customHeight="1">
      <c r="A689" s="169"/>
      <c r="B689" s="38" t="s">
        <v>2222</v>
      </c>
      <c r="C689" s="191" t="s">
        <v>4595</v>
      </c>
      <c r="D689" s="40" t="s">
        <v>4596</v>
      </c>
      <c r="E689" s="38"/>
      <c r="F689" s="38"/>
      <c r="G689" s="38"/>
      <c r="H689" s="48" t="s">
        <v>3818</v>
      </c>
      <c r="I689" s="188">
        <v>45597.0</v>
      </c>
      <c r="J689" s="205">
        <f t="shared" si="1"/>
        <v>45662</v>
      </c>
      <c r="K689" s="189">
        <v>2534.0</v>
      </c>
      <c r="L689" s="206"/>
      <c r="M689" s="191" t="s">
        <v>2281</v>
      </c>
      <c r="N689" s="48" t="s">
        <v>4585</v>
      </c>
      <c r="O689" s="169"/>
      <c r="P689" s="169"/>
      <c r="Q689" s="169"/>
      <c r="R689" s="169"/>
      <c r="S689" s="169"/>
      <c r="T689" s="169"/>
      <c r="U689" s="169"/>
      <c r="V689" s="169"/>
      <c r="W689" s="169"/>
      <c r="X689" s="169"/>
      <c r="Y689" s="169"/>
      <c r="Z689" s="169"/>
      <c r="AA689" s="169"/>
      <c r="AB689" s="169"/>
      <c r="AC689" s="169"/>
      <c r="AD689" s="169"/>
      <c r="AE689" s="169"/>
      <c r="AF689" s="169"/>
      <c r="AG689" s="169"/>
      <c r="AH689" s="169"/>
    </row>
    <row r="690" ht="15.75" customHeight="1">
      <c r="A690" s="169"/>
      <c r="B690" s="38" t="s">
        <v>2222</v>
      </c>
      <c r="C690" s="191" t="s">
        <v>4501</v>
      </c>
      <c r="D690" s="40" t="s">
        <v>4499</v>
      </c>
      <c r="E690" s="38"/>
      <c r="F690" s="38"/>
      <c r="G690" s="38"/>
      <c r="H690" s="48" t="s">
        <v>4502</v>
      </c>
      <c r="I690" s="188">
        <v>45597.0</v>
      </c>
      <c r="J690" s="205">
        <f t="shared" si="1"/>
        <v>45662</v>
      </c>
      <c r="K690" s="189">
        <v>2730.0</v>
      </c>
      <c r="L690" s="206"/>
      <c r="M690" s="191" t="s">
        <v>2281</v>
      </c>
      <c r="N690" s="48" t="s">
        <v>4585</v>
      </c>
      <c r="O690" s="169"/>
      <c r="P690" s="169"/>
      <c r="Q690" s="169"/>
      <c r="R690" s="169"/>
      <c r="S690" s="169"/>
      <c r="T690" s="169"/>
      <c r="U690" s="169"/>
      <c r="V690" s="169"/>
      <c r="W690" s="169"/>
      <c r="X690" s="169"/>
      <c r="Y690" s="169"/>
      <c r="Z690" s="169"/>
      <c r="AA690" s="169"/>
      <c r="AB690" s="169"/>
      <c r="AC690" s="169"/>
      <c r="AD690" s="169"/>
      <c r="AE690" s="169"/>
      <c r="AF690" s="169"/>
      <c r="AG690" s="169"/>
      <c r="AH690" s="169"/>
    </row>
    <row r="691" ht="15.75" customHeight="1">
      <c r="A691" s="169"/>
      <c r="B691" s="38" t="s">
        <v>2222</v>
      </c>
      <c r="C691" s="191" t="s">
        <v>4506</v>
      </c>
      <c r="D691" s="40" t="s">
        <v>4504</v>
      </c>
      <c r="E691" s="38"/>
      <c r="F691" s="38"/>
      <c r="G691" s="38"/>
      <c r="H691" s="48" t="s">
        <v>4507</v>
      </c>
      <c r="I691" s="188">
        <v>45597.0</v>
      </c>
      <c r="J691" s="205">
        <f t="shared" si="1"/>
        <v>45662</v>
      </c>
      <c r="K691" s="189">
        <v>3080.0</v>
      </c>
      <c r="L691" s="206"/>
      <c r="M691" s="191" t="s">
        <v>2284</v>
      </c>
      <c r="N691" s="48" t="s">
        <v>4588</v>
      </c>
      <c r="O691" s="169"/>
      <c r="P691" s="169"/>
      <c r="Q691" s="169"/>
      <c r="R691" s="169"/>
      <c r="S691" s="169"/>
      <c r="T691" s="169"/>
      <c r="U691" s="169"/>
      <c r="V691" s="169"/>
      <c r="W691" s="169"/>
      <c r="X691" s="169"/>
      <c r="Y691" s="169"/>
      <c r="Z691" s="169"/>
      <c r="AA691" s="169"/>
      <c r="AB691" s="169"/>
      <c r="AC691" s="169"/>
      <c r="AD691" s="169"/>
      <c r="AE691" s="169"/>
      <c r="AF691" s="169"/>
      <c r="AG691" s="169"/>
      <c r="AH691" s="169"/>
    </row>
    <row r="692" ht="15.75" customHeight="1">
      <c r="A692" s="169"/>
      <c r="B692" s="38" t="s">
        <v>2020</v>
      </c>
      <c r="C692" s="191" t="s">
        <v>4597</v>
      </c>
      <c r="D692" s="40" t="s">
        <v>4598</v>
      </c>
      <c r="E692" s="38"/>
      <c r="F692" s="38"/>
      <c r="G692" s="38" t="s">
        <v>2020</v>
      </c>
      <c r="H692" s="48" t="s">
        <v>4555</v>
      </c>
      <c r="I692" s="188">
        <v>45627.0</v>
      </c>
      <c r="J692" s="188">
        <v>45688.0</v>
      </c>
      <c r="K692" s="189">
        <v>670.0</v>
      </c>
      <c r="L692" s="206"/>
      <c r="M692" s="191" t="s">
        <v>2893</v>
      </c>
      <c r="N692" s="48"/>
      <c r="O692" s="169"/>
      <c r="P692" s="169"/>
      <c r="Q692" s="169"/>
      <c r="R692" s="169"/>
      <c r="S692" s="169"/>
      <c r="T692" s="169"/>
      <c r="U692" s="169"/>
      <c r="V692" s="169"/>
      <c r="W692" s="169"/>
      <c r="X692" s="169"/>
      <c r="Y692" s="169"/>
      <c r="Z692" s="169"/>
      <c r="AA692" s="169"/>
      <c r="AB692" s="169"/>
      <c r="AC692" s="169"/>
      <c r="AD692" s="169"/>
      <c r="AE692" s="169"/>
      <c r="AF692" s="169"/>
      <c r="AG692" s="169"/>
      <c r="AH692" s="169"/>
    </row>
    <row r="693" ht="37.5" customHeight="1">
      <c r="A693" s="169"/>
      <c r="B693" s="39" t="s">
        <v>2020</v>
      </c>
      <c r="C693" s="191" t="s">
        <v>4108</v>
      </c>
      <c r="D693" s="40" t="s">
        <v>4599</v>
      </c>
      <c r="E693" s="38"/>
      <c r="F693" s="38"/>
      <c r="G693" s="38"/>
      <c r="H693" s="48" t="s">
        <v>4109</v>
      </c>
      <c r="I693" s="188">
        <v>45658.0</v>
      </c>
      <c r="J693" s="188">
        <v>45658.0</v>
      </c>
      <c r="K693" s="189">
        <v>610.0</v>
      </c>
      <c r="L693" s="206"/>
      <c r="M693" s="191" t="s">
        <v>2471</v>
      </c>
      <c r="N693" s="48" t="s">
        <v>4600</v>
      </c>
      <c r="O693" s="169"/>
      <c r="P693" s="169"/>
      <c r="Q693" s="169"/>
      <c r="R693" s="169"/>
      <c r="S693" s="169"/>
      <c r="T693" s="169"/>
      <c r="U693" s="169"/>
      <c r="V693" s="169"/>
      <c r="W693" s="169"/>
      <c r="X693" s="169"/>
      <c r="Y693" s="169"/>
      <c r="Z693" s="169"/>
      <c r="AA693" s="169"/>
      <c r="AB693" s="169"/>
      <c r="AC693" s="169"/>
      <c r="AD693" s="169"/>
      <c r="AE693" s="169"/>
      <c r="AF693" s="169"/>
      <c r="AG693" s="169"/>
      <c r="AH693" s="169"/>
    </row>
    <row r="694" ht="37.5" customHeight="1">
      <c r="A694" s="169"/>
      <c r="B694" s="117" t="s">
        <v>2020</v>
      </c>
      <c r="C694" s="207" t="s">
        <v>4321</v>
      </c>
      <c r="D694" s="118" t="s">
        <v>4320</v>
      </c>
      <c r="E694" s="38"/>
      <c r="F694" s="38"/>
      <c r="G694" s="38"/>
      <c r="H694" s="121" t="s">
        <v>4322</v>
      </c>
      <c r="I694" s="188">
        <v>45658.0</v>
      </c>
      <c r="J694" s="188">
        <v>45658.0</v>
      </c>
      <c r="K694" s="189">
        <v>515.0</v>
      </c>
      <c r="L694" s="206"/>
      <c r="M694" s="191" t="s">
        <v>2474</v>
      </c>
      <c r="N694" s="121" t="s">
        <v>4601</v>
      </c>
      <c r="O694" s="169"/>
      <c r="P694" s="169"/>
      <c r="Q694" s="169"/>
      <c r="R694" s="169"/>
      <c r="S694" s="169"/>
      <c r="T694" s="169"/>
      <c r="U694" s="169"/>
      <c r="V694" s="169"/>
      <c r="W694" s="169"/>
      <c r="X694" s="169"/>
      <c r="Y694" s="169"/>
      <c r="Z694" s="169"/>
      <c r="AA694" s="169"/>
      <c r="AB694" s="169"/>
      <c r="AC694" s="169"/>
      <c r="AD694" s="169"/>
      <c r="AE694" s="169"/>
      <c r="AF694" s="169"/>
      <c r="AG694" s="169"/>
      <c r="AH694" s="169"/>
    </row>
    <row r="695" ht="15.75" customHeight="1">
      <c r="A695" s="169"/>
      <c r="B695" s="38" t="s">
        <v>23</v>
      </c>
      <c r="C695" s="191" t="s">
        <v>4602</v>
      </c>
      <c r="D695" s="40" t="s">
        <v>1935</v>
      </c>
      <c r="E695" s="38"/>
      <c r="F695" s="38"/>
      <c r="G695" s="38"/>
      <c r="H695" s="48" t="s">
        <v>4603</v>
      </c>
      <c r="I695" s="188">
        <v>45323.0</v>
      </c>
      <c r="J695" s="188">
        <v>45839.0</v>
      </c>
      <c r="K695" s="189">
        <v>92.0</v>
      </c>
      <c r="L695" s="206"/>
      <c r="M695" s="191" t="s">
        <v>2893</v>
      </c>
      <c r="N695" s="48"/>
      <c r="O695" s="169"/>
      <c r="P695" s="169"/>
      <c r="Q695" s="169"/>
      <c r="R695" s="169"/>
      <c r="S695" s="169"/>
      <c r="T695" s="169"/>
      <c r="U695" s="169"/>
      <c r="V695" s="169"/>
      <c r="W695" s="169"/>
      <c r="X695" s="169"/>
      <c r="Y695" s="169"/>
      <c r="Z695" s="169"/>
      <c r="AA695" s="169"/>
      <c r="AB695" s="169"/>
      <c r="AC695" s="169"/>
      <c r="AD695" s="169"/>
      <c r="AE695" s="169"/>
      <c r="AF695" s="169"/>
      <c r="AG695" s="169"/>
      <c r="AH695" s="169"/>
    </row>
    <row r="696" ht="15.75" customHeight="1">
      <c r="A696" s="169"/>
      <c r="B696" s="39" t="s">
        <v>118</v>
      </c>
      <c r="C696" s="191" t="s">
        <v>4604</v>
      </c>
      <c r="D696" s="40" t="s">
        <v>4605</v>
      </c>
      <c r="E696" s="38" t="s">
        <v>168</v>
      </c>
      <c r="F696" s="38" t="s">
        <v>340</v>
      </c>
      <c r="G696" s="38" t="s">
        <v>213</v>
      </c>
      <c r="H696" s="48" t="s">
        <v>4606</v>
      </c>
      <c r="I696" s="188">
        <v>45689.0</v>
      </c>
      <c r="J696" s="188">
        <v>45717.0</v>
      </c>
      <c r="K696" s="189">
        <v>4030.0</v>
      </c>
      <c r="L696" s="206"/>
      <c r="M696" s="191" t="s">
        <v>369</v>
      </c>
      <c r="N696" s="48" t="s">
        <v>371</v>
      </c>
      <c r="O696" s="169"/>
      <c r="P696" s="169"/>
      <c r="Q696" s="169"/>
      <c r="R696" s="169"/>
      <c r="S696" s="169"/>
      <c r="T696" s="169"/>
      <c r="U696" s="169"/>
      <c r="V696" s="169"/>
      <c r="W696" s="169"/>
      <c r="X696" s="169"/>
      <c r="Y696" s="169"/>
      <c r="Z696" s="169"/>
      <c r="AA696" s="169"/>
      <c r="AB696" s="169"/>
      <c r="AC696" s="169"/>
      <c r="AD696" s="169"/>
      <c r="AE696" s="169"/>
      <c r="AF696" s="169"/>
      <c r="AG696" s="169"/>
      <c r="AH696" s="169"/>
    </row>
    <row r="697" ht="37.5" customHeight="1">
      <c r="A697" s="169"/>
      <c r="B697" s="117" t="s">
        <v>23</v>
      </c>
      <c r="C697" s="207" t="s">
        <v>4607</v>
      </c>
      <c r="D697" s="118" t="s">
        <v>1935</v>
      </c>
      <c r="E697" s="38"/>
      <c r="F697" s="38"/>
      <c r="G697" s="38"/>
      <c r="H697" s="121" t="s">
        <v>4608</v>
      </c>
      <c r="I697" s="188">
        <v>45689.0</v>
      </c>
      <c r="J697" s="188">
        <v>45717.0</v>
      </c>
      <c r="K697" s="189">
        <v>23.0</v>
      </c>
      <c r="L697" s="206"/>
      <c r="M697" s="191" t="s">
        <v>2893</v>
      </c>
      <c r="N697" s="48"/>
      <c r="O697" s="169"/>
      <c r="P697" s="169"/>
      <c r="Q697" s="169"/>
      <c r="R697" s="169"/>
      <c r="S697" s="169"/>
      <c r="T697" s="169"/>
      <c r="U697" s="169"/>
      <c r="V697" s="169"/>
      <c r="W697" s="169"/>
      <c r="X697" s="169"/>
      <c r="Y697" s="169"/>
      <c r="Z697" s="169"/>
      <c r="AA697" s="169"/>
      <c r="AB697" s="169"/>
      <c r="AC697" s="169"/>
      <c r="AD697" s="169"/>
      <c r="AE697" s="169"/>
      <c r="AF697" s="169"/>
      <c r="AG697" s="169"/>
      <c r="AH697" s="169"/>
    </row>
    <row r="698" ht="15.75" customHeight="1">
      <c r="A698" s="169"/>
      <c r="B698" s="117" t="s">
        <v>2065</v>
      </c>
      <c r="C698" s="207" t="s">
        <v>4609</v>
      </c>
      <c r="D698" s="118" t="s">
        <v>4610</v>
      </c>
      <c r="E698" s="38"/>
      <c r="F698" s="38"/>
      <c r="G698" s="38"/>
      <c r="H698" s="121" t="s">
        <v>4611</v>
      </c>
      <c r="I698" s="188">
        <v>45717.0</v>
      </c>
      <c r="J698" s="188">
        <v>45748.0</v>
      </c>
      <c r="K698" s="189">
        <v>99.0</v>
      </c>
      <c r="L698" s="206"/>
      <c r="M698" s="191" t="s">
        <v>2066</v>
      </c>
      <c r="N698" s="48" t="s">
        <v>4612</v>
      </c>
      <c r="O698" s="169"/>
      <c r="P698" s="169"/>
      <c r="Q698" s="169"/>
      <c r="R698" s="169"/>
      <c r="S698" s="169"/>
      <c r="T698" s="169"/>
      <c r="U698" s="169"/>
      <c r="V698" s="169"/>
      <c r="W698" s="169"/>
      <c r="X698" s="169"/>
      <c r="Y698" s="169"/>
      <c r="Z698" s="169"/>
      <c r="AA698" s="169"/>
      <c r="AB698" s="169"/>
      <c r="AC698" s="169"/>
      <c r="AD698" s="169"/>
      <c r="AE698" s="169"/>
      <c r="AF698" s="169"/>
      <c r="AG698" s="169"/>
      <c r="AH698" s="169"/>
    </row>
    <row r="699" ht="15.75" customHeight="1">
      <c r="A699" s="169"/>
      <c r="B699" s="117" t="s">
        <v>1031</v>
      </c>
      <c r="C699" s="207" t="s">
        <v>4613</v>
      </c>
      <c r="D699" s="118" t="s">
        <v>4614</v>
      </c>
      <c r="E699" s="38" t="s">
        <v>16</v>
      </c>
      <c r="F699" s="38" t="s">
        <v>1083</v>
      </c>
      <c r="G699" s="38" t="s">
        <v>1035</v>
      </c>
      <c r="H699" s="121" t="s">
        <v>4615</v>
      </c>
      <c r="I699" s="188">
        <v>45717.0</v>
      </c>
      <c r="J699" s="188">
        <v>45992.0</v>
      </c>
      <c r="K699" s="189">
        <v>2040.0</v>
      </c>
      <c r="L699" s="206"/>
      <c r="M699" s="191" t="s">
        <v>2893</v>
      </c>
      <c r="N699" s="48"/>
      <c r="O699" s="169"/>
      <c r="P699" s="169"/>
      <c r="Q699" s="169"/>
      <c r="R699" s="169"/>
      <c r="S699" s="169"/>
      <c r="T699" s="169"/>
      <c r="U699" s="169"/>
      <c r="V699" s="169"/>
      <c r="W699" s="169"/>
      <c r="X699" s="169"/>
      <c r="Y699" s="169"/>
      <c r="Z699" s="169"/>
      <c r="AA699" s="169"/>
      <c r="AB699" s="169"/>
      <c r="AC699" s="169"/>
      <c r="AD699" s="169"/>
      <c r="AE699" s="169"/>
      <c r="AF699" s="169"/>
      <c r="AG699" s="169"/>
      <c r="AH699" s="169"/>
    </row>
    <row r="700" ht="15.75" customHeight="1">
      <c r="A700" s="169"/>
      <c r="B700" s="117" t="s">
        <v>1031</v>
      </c>
      <c r="C700" s="207" t="s">
        <v>4616</v>
      </c>
      <c r="D700" s="118" t="s">
        <v>4617</v>
      </c>
      <c r="E700" s="38" t="s">
        <v>16</v>
      </c>
      <c r="F700" s="38" t="s">
        <v>1034</v>
      </c>
      <c r="G700" s="38" t="s">
        <v>1035</v>
      </c>
      <c r="H700" s="121" t="s">
        <v>4618</v>
      </c>
      <c r="I700" s="188">
        <v>45717.0</v>
      </c>
      <c r="J700" s="188">
        <v>45748.0</v>
      </c>
      <c r="K700" s="189">
        <v>1153.0</v>
      </c>
      <c r="L700" s="206"/>
      <c r="M700" s="191" t="s">
        <v>2893</v>
      </c>
      <c r="N700" s="48"/>
      <c r="O700" s="169"/>
      <c r="P700" s="169"/>
      <c r="Q700" s="169"/>
      <c r="R700" s="169"/>
      <c r="S700" s="169"/>
      <c r="T700" s="169"/>
      <c r="U700" s="169"/>
      <c r="V700" s="169"/>
      <c r="W700" s="169"/>
      <c r="X700" s="169"/>
      <c r="Y700" s="169"/>
      <c r="Z700" s="169"/>
      <c r="AA700" s="169"/>
      <c r="AB700" s="169"/>
      <c r="AC700" s="169"/>
      <c r="AD700" s="169"/>
      <c r="AE700" s="169"/>
      <c r="AF700" s="169"/>
      <c r="AG700" s="169"/>
      <c r="AH700" s="169"/>
    </row>
    <row r="701" ht="15.75" customHeight="1">
      <c r="A701" s="169"/>
      <c r="B701" s="117" t="s">
        <v>2653</v>
      </c>
      <c r="C701" s="207" t="s">
        <v>4619</v>
      </c>
      <c r="D701" s="118" t="s">
        <v>4620</v>
      </c>
      <c r="E701" s="38"/>
      <c r="F701" s="38"/>
      <c r="G701" s="38"/>
      <c r="H701" s="121" t="s">
        <v>4621</v>
      </c>
      <c r="I701" s="188">
        <v>45717.0</v>
      </c>
      <c r="J701" s="205">
        <f t="shared" ref="J701:J702" si="2">I701+65</f>
        <v>45782</v>
      </c>
      <c r="K701" s="189">
        <v>1014.0</v>
      </c>
      <c r="L701" s="206"/>
      <c r="M701" s="191" t="s">
        <v>4622</v>
      </c>
      <c r="N701" s="48"/>
      <c r="O701" s="169"/>
      <c r="P701" s="169"/>
      <c r="Q701" s="169"/>
      <c r="R701" s="169"/>
      <c r="S701" s="169"/>
      <c r="T701" s="169"/>
      <c r="U701" s="169"/>
      <c r="V701" s="169"/>
      <c r="W701" s="169"/>
      <c r="X701" s="169"/>
      <c r="Y701" s="169"/>
      <c r="Z701" s="169"/>
      <c r="AA701" s="169"/>
      <c r="AB701" s="169"/>
      <c r="AC701" s="169"/>
      <c r="AD701" s="169"/>
      <c r="AE701" s="169"/>
      <c r="AF701" s="169"/>
      <c r="AG701" s="169"/>
      <c r="AH701" s="169"/>
    </row>
    <row r="702" ht="15.75" customHeight="1">
      <c r="A702" s="169"/>
      <c r="B702" s="117" t="s">
        <v>118</v>
      </c>
      <c r="C702" s="207" t="s">
        <v>401</v>
      </c>
      <c r="D702" s="118" t="s">
        <v>402</v>
      </c>
      <c r="E702" s="38" t="s">
        <v>168</v>
      </c>
      <c r="F702" s="38" t="s">
        <v>340</v>
      </c>
      <c r="G702" s="38" t="s">
        <v>213</v>
      </c>
      <c r="H702" s="121" t="s">
        <v>404</v>
      </c>
      <c r="I702" s="188">
        <v>45717.0</v>
      </c>
      <c r="J702" s="205">
        <f t="shared" si="2"/>
        <v>45782</v>
      </c>
      <c r="K702" s="189">
        <v>4350.0</v>
      </c>
      <c r="L702" s="206"/>
      <c r="M702" s="207" t="s">
        <v>366</v>
      </c>
      <c r="N702" s="48" t="s">
        <v>368</v>
      </c>
      <c r="O702" s="169"/>
      <c r="P702" s="169"/>
      <c r="Q702" s="169"/>
      <c r="R702" s="169"/>
      <c r="S702" s="169"/>
      <c r="T702" s="169"/>
      <c r="U702" s="169"/>
      <c r="V702" s="169"/>
      <c r="W702" s="169"/>
      <c r="X702" s="169"/>
      <c r="Y702" s="169"/>
      <c r="Z702" s="169"/>
      <c r="AA702" s="169"/>
      <c r="AB702" s="169"/>
      <c r="AC702" s="169"/>
      <c r="AD702" s="169"/>
      <c r="AE702" s="169"/>
      <c r="AF702" s="169"/>
      <c r="AG702" s="169"/>
      <c r="AH702" s="169"/>
    </row>
    <row r="703" ht="15.75" customHeight="1">
      <c r="A703" s="169"/>
      <c r="B703" s="117" t="s">
        <v>118</v>
      </c>
      <c r="C703" s="207" t="s">
        <v>4623</v>
      </c>
      <c r="D703" s="118" t="s">
        <v>4624</v>
      </c>
      <c r="E703" s="38" t="s">
        <v>168</v>
      </c>
      <c r="F703" s="38" t="s">
        <v>414</v>
      </c>
      <c r="G703" s="38" t="s">
        <v>192</v>
      </c>
      <c r="H703" s="121" t="s">
        <v>4625</v>
      </c>
      <c r="I703" s="188">
        <v>45717.0</v>
      </c>
      <c r="J703" s="188">
        <v>45962.0</v>
      </c>
      <c r="K703" s="189">
        <v>1387.0</v>
      </c>
      <c r="L703" s="206"/>
      <c r="M703" s="191" t="s">
        <v>2893</v>
      </c>
      <c r="N703" s="48"/>
      <c r="O703" s="169"/>
      <c r="P703" s="169"/>
      <c r="Q703" s="169"/>
      <c r="R703" s="169"/>
      <c r="S703" s="169"/>
      <c r="T703" s="169"/>
      <c r="U703" s="169"/>
      <c r="V703" s="169"/>
      <c r="W703" s="169"/>
      <c r="X703" s="169"/>
      <c r="Y703" s="169"/>
      <c r="Z703" s="169"/>
      <c r="AA703" s="169"/>
      <c r="AB703" s="169"/>
      <c r="AC703" s="169"/>
      <c r="AD703" s="169"/>
      <c r="AE703" s="169"/>
      <c r="AF703" s="169"/>
      <c r="AG703" s="169"/>
      <c r="AH703" s="169"/>
    </row>
    <row r="704" ht="15.75" customHeight="1">
      <c r="A704" s="169"/>
      <c r="B704" s="117" t="s">
        <v>118</v>
      </c>
      <c r="C704" s="207" t="s">
        <v>4626</v>
      </c>
      <c r="D704" s="118" t="s">
        <v>4627</v>
      </c>
      <c r="E704" s="38" t="s">
        <v>168</v>
      </c>
      <c r="F704" s="38" t="s">
        <v>414</v>
      </c>
      <c r="G704" s="38" t="s">
        <v>192</v>
      </c>
      <c r="H704" s="121" t="s">
        <v>4628</v>
      </c>
      <c r="I704" s="188">
        <v>45717.0</v>
      </c>
      <c r="J704" s="188">
        <v>45748.0</v>
      </c>
      <c r="K704" s="189">
        <v>1387.0</v>
      </c>
      <c r="L704" s="206"/>
      <c r="M704" s="191" t="s">
        <v>2893</v>
      </c>
      <c r="N704" s="48"/>
      <c r="O704" s="169"/>
      <c r="P704" s="169"/>
      <c r="Q704" s="169"/>
      <c r="R704" s="169"/>
      <c r="S704" s="169"/>
      <c r="T704" s="169"/>
      <c r="U704" s="169"/>
      <c r="V704" s="169"/>
      <c r="W704" s="169"/>
      <c r="X704" s="169"/>
      <c r="Y704" s="169"/>
      <c r="Z704" s="169"/>
      <c r="AA704" s="169"/>
      <c r="AB704" s="169"/>
      <c r="AC704" s="169"/>
      <c r="AD704" s="169"/>
      <c r="AE704" s="169"/>
      <c r="AF704" s="169"/>
      <c r="AG704" s="169"/>
      <c r="AH704" s="169"/>
    </row>
    <row r="705" ht="15.75" customHeight="1">
      <c r="A705" s="169"/>
      <c r="B705" s="117" t="s">
        <v>118</v>
      </c>
      <c r="C705" s="207" t="s">
        <v>4629</v>
      </c>
      <c r="D705" s="118" t="s">
        <v>473</v>
      </c>
      <c r="E705" s="38" t="s">
        <v>168</v>
      </c>
      <c r="F705" s="38" t="s">
        <v>414</v>
      </c>
      <c r="G705" s="38" t="s">
        <v>192</v>
      </c>
      <c r="H705" s="121" t="s">
        <v>4630</v>
      </c>
      <c r="I705" s="188">
        <v>45717.0</v>
      </c>
      <c r="J705" s="188">
        <v>45839.0</v>
      </c>
      <c r="K705" s="189">
        <v>1261.0</v>
      </c>
      <c r="L705" s="206"/>
      <c r="M705" s="191" t="s">
        <v>533</v>
      </c>
      <c r="N705" s="48" t="s">
        <v>534</v>
      </c>
      <c r="O705" s="169"/>
      <c r="P705" s="169"/>
      <c r="Q705" s="169"/>
      <c r="R705" s="169"/>
      <c r="S705" s="169"/>
      <c r="T705" s="169"/>
      <c r="U705" s="169"/>
      <c r="V705" s="169"/>
      <c r="W705" s="169"/>
      <c r="X705" s="169"/>
      <c r="Y705" s="169"/>
      <c r="Z705" s="169"/>
      <c r="AA705" s="169"/>
      <c r="AB705" s="169"/>
      <c r="AC705" s="169"/>
      <c r="AD705" s="169"/>
      <c r="AE705" s="169"/>
      <c r="AF705" s="169"/>
      <c r="AG705" s="169"/>
      <c r="AH705" s="169"/>
    </row>
    <row r="706" ht="15.75" customHeight="1">
      <c r="A706" s="169"/>
      <c r="B706" s="117" t="s">
        <v>118</v>
      </c>
      <c r="C706" s="207" t="s">
        <v>4631</v>
      </c>
      <c r="D706" s="118" t="s">
        <v>4632</v>
      </c>
      <c r="E706" s="38" t="s">
        <v>168</v>
      </c>
      <c r="F706" s="38" t="s">
        <v>414</v>
      </c>
      <c r="G706" s="38" t="s">
        <v>192</v>
      </c>
      <c r="H706" s="121" t="s">
        <v>4633</v>
      </c>
      <c r="I706" s="188">
        <v>45717.0</v>
      </c>
      <c r="J706" s="188">
        <v>45962.0</v>
      </c>
      <c r="K706" s="189">
        <v>1261.0</v>
      </c>
      <c r="L706" s="206"/>
      <c r="M706" s="191" t="s">
        <v>533</v>
      </c>
      <c r="N706" s="48" t="s">
        <v>534</v>
      </c>
      <c r="O706" s="169"/>
      <c r="P706" s="169"/>
      <c r="Q706" s="169"/>
      <c r="R706" s="169"/>
      <c r="S706" s="169"/>
      <c r="T706" s="169"/>
      <c r="U706" s="169"/>
      <c r="V706" s="169"/>
      <c r="W706" s="169"/>
      <c r="X706" s="169"/>
      <c r="Y706" s="169"/>
      <c r="Z706" s="169"/>
      <c r="AA706" s="169"/>
      <c r="AB706" s="169"/>
      <c r="AC706" s="169"/>
      <c r="AD706" s="169"/>
      <c r="AE706" s="169"/>
      <c r="AF706" s="169"/>
      <c r="AG706" s="169"/>
      <c r="AH706" s="169"/>
    </row>
    <row r="707" ht="15.75" customHeight="1">
      <c r="A707" s="169"/>
      <c r="B707" s="117" t="s">
        <v>118</v>
      </c>
      <c r="C707" s="207" t="s">
        <v>459</v>
      </c>
      <c r="D707" s="118" t="s">
        <v>460</v>
      </c>
      <c r="E707" s="38" t="s">
        <v>168</v>
      </c>
      <c r="F707" s="38" t="s">
        <v>414</v>
      </c>
      <c r="G707" s="38" t="s">
        <v>184</v>
      </c>
      <c r="H707" s="121" t="s">
        <v>462</v>
      </c>
      <c r="I707" s="188">
        <v>45717.0</v>
      </c>
      <c r="J707" s="205">
        <f>I707+65</f>
        <v>45782</v>
      </c>
      <c r="K707" s="189">
        <v>1613.0</v>
      </c>
      <c r="L707" s="206"/>
      <c r="M707" s="191" t="s">
        <v>2893</v>
      </c>
      <c r="N707" s="48"/>
      <c r="O707" s="169"/>
      <c r="P707" s="169"/>
      <c r="Q707" s="169"/>
      <c r="R707" s="169"/>
      <c r="S707" s="169"/>
      <c r="T707" s="169"/>
      <c r="U707" s="169"/>
      <c r="V707" s="169"/>
      <c r="W707" s="169"/>
      <c r="X707" s="169"/>
      <c r="Y707" s="169"/>
      <c r="Z707" s="169"/>
      <c r="AA707" s="169"/>
      <c r="AB707" s="169"/>
      <c r="AC707" s="169"/>
      <c r="AD707" s="169"/>
      <c r="AE707" s="169"/>
      <c r="AF707" s="169"/>
      <c r="AG707" s="169"/>
      <c r="AH707" s="169"/>
    </row>
    <row r="708" ht="15.75" customHeight="1">
      <c r="A708" s="169"/>
      <c r="B708" s="117" t="s">
        <v>118</v>
      </c>
      <c r="C708" s="207" t="s">
        <v>4634</v>
      </c>
      <c r="D708" s="118" t="s">
        <v>495</v>
      </c>
      <c r="E708" s="38" t="s">
        <v>168</v>
      </c>
      <c r="F708" s="38" t="s">
        <v>414</v>
      </c>
      <c r="G708" s="38" t="s">
        <v>184</v>
      </c>
      <c r="H708" s="121" t="s">
        <v>4635</v>
      </c>
      <c r="I708" s="188">
        <v>45717.0</v>
      </c>
      <c r="J708" s="188">
        <v>45992.0</v>
      </c>
      <c r="K708" s="189">
        <v>1403.0</v>
      </c>
      <c r="L708" s="206"/>
      <c r="M708" s="191" t="s">
        <v>531</v>
      </c>
      <c r="N708" s="48" t="s">
        <v>532</v>
      </c>
      <c r="O708" s="169"/>
      <c r="P708" s="169"/>
      <c r="Q708" s="169"/>
      <c r="R708" s="169"/>
      <c r="S708" s="169"/>
      <c r="T708" s="169"/>
      <c r="U708" s="169"/>
      <c r="V708" s="169"/>
      <c r="W708" s="169"/>
      <c r="X708" s="169"/>
      <c r="Y708" s="169"/>
      <c r="Z708" s="169"/>
      <c r="AA708" s="169"/>
      <c r="AB708" s="169"/>
      <c r="AC708" s="169"/>
      <c r="AD708" s="169"/>
      <c r="AE708" s="169"/>
      <c r="AF708" s="169"/>
      <c r="AG708" s="169"/>
      <c r="AH708" s="169"/>
    </row>
    <row r="709" ht="15.75" customHeight="1">
      <c r="A709" s="169"/>
      <c r="B709" s="117" t="s">
        <v>118</v>
      </c>
      <c r="C709" s="207" t="s">
        <v>4636</v>
      </c>
      <c r="D709" s="118" t="s">
        <v>731</v>
      </c>
      <c r="E709" s="38" t="s">
        <v>168</v>
      </c>
      <c r="F709" s="38" t="s">
        <v>623</v>
      </c>
      <c r="G709" s="38" t="s">
        <v>192</v>
      </c>
      <c r="H709" s="121" t="s">
        <v>4637</v>
      </c>
      <c r="I709" s="188">
        <v>45717.0</v>
      </c>
      <c r="J709" s="188">
        <v>45809.0</v>
      </c>
      <c r="K709" s="189">
        <v>862.0</v>
      </c>
      <c r="L709" s="206"/>
      <c r="M709" s="191" t="s">
        <v>651</v>
      </c>
      <c r="N709" s="42" t="s">
        <v>4638</v>
      </c>
      <c r="O709" s="169"/>
      <c r="P709" s="169"/>
      <c r="Q709" s="169"/>
      <c r="R709" s="169"/>
      <c r="S709" s="169"/>
      <c r="T709" s="169"/>
      <c r="U709" s="169"/>
      <c r="V709" s="169"/>
      <c r="W709" s="169"/>
      <c r="X709" s="169"/>
      <c r="Y709" s="169"/>
      <c r="Z709" s="169"/>
      <c r="AA709" s="169"/>
      <c r="AB709" s="169"/>
      <c r="AC709" s="169"/>
      <c r="AD709" s="169"/>
      <c r="AE709" s="169"/>
      <c r="AF709" s="169"/>
      <c r="AG709" s="169"/>
      <c r="AH709" s="169"/>
    </row>
    <row r="710" ht="15.75" customHeight="1">
      <c r="A710" s="169"/>
      <c r="B710" s="117" t="s">
        <v>118</v>
      </c>
      <c r="C710" s="207" t="s">
        <v>4639</v>
      </c>
      <c r="D710" s="118" t="s">
        <v>4640</v>
      </c>
      <c r="E710" s="38" t="s">
        <v>168</v>
      </c>
      <c r="F710" s="38" t="s">
        <v>623</v>
      </c>
      <c r="G710" s="38" t="s">
        <v>192</v>
      </c>
      <c r="H710" s="121" t="s">
        <v>4641</v>
      </c>
      <c r="I710" s="188">
        <v>45717.0</v>
      </c>
      <c r="J710" s="188">
        <v>45962.0</v>
      </c>
      <c r="K710" s="189">
        <v>1044.0</v>
      </c>
      <c r="L710" s="206"/>
      <c r="M710" s="191" t="s">
        <v>639</v>
      </c>
      <c r="N710" s="48" t="s">
        <v>641</v>
      </c>
      <c r="O710" s="169"/>
      <c r="P710" s="169"/>
      <c r="Q710" s="169"/>
      <c r="R710" s="169"/>
      <c r="S710" s="169"/>
      <c r="T710" s="169"/>
      <c r="U710" s="169"/>
      <c r="V710" s="169"/>
      <c r="W710" s="169"/>
      <c r="X710" s="169"/>
      <c r="Y710" s="169"/>
      <c r="Z710" s="169"/>
      <c r="AA710" s="169"/>
      <c r="AB710" s="169"/>
      <c r="AC710" s="169"/>
      <c r="AD710" s="169"/>
      <c r="AE710" s="169"/>
      <c r="AF710" s="169"/>
      <c r="AG710" s="169"/>
      <c r="AH710" s="169"/>
    </row>
    <row r="711" ht="15.75" customHeight="1">
      <c r="A711" s="169"/>
      <c r="B711" s="117" t="s">
        <v>118</v>
      </c>
      <c r="C711" s="207" t="s">
        <v>4642</v>
      </c>
      <c r="D711" s="118" t="s">
        <v>695</v>
      </c>
      <c r="E711" s="38" t="s">
        <v>168</v>
      </c>
      <c r="F711" s="38" t="s">
        <v>623</v>
      </c>
      <c r="G711" s="38" t="s">
        <v>192</v>
      </c>
      <c r="H711" s="121" t="s">
        <v>4643</v>
      </c>
      <c r="I711" s="188">
        <v>45717.0</v>
      </c>
      <c r="J711" s="188">
        <v>45869.0</v>
      </c>
      <c r="K711" s="189">
        <v>949.0</v>
      </c>
      <c r="L711" s="206"/>
      <c r="M711" s="191" t="s">
        <v>651</v>
      </c>
      <c r="N711" s="48" t="s">
        <v>4638</v>
      </c>
      <c r="O711" s="169"/>
      <c r="P711" s="169"/>
      <c r="Q711" s="169"/>
      <c r="R711" s="169"/>
      <c r="S711" s="169"/>
      <c r="T711" s="169"/>
      <c r="U711" s="169"/>
      <c r="V711" s="169"/>
      <c r="W711" s="169"/>
      <c r="X711" s="169"/>
      <c r="Y711" s="169"/>
      <c r="Z711" s="169"/>
      <c r="AA711" s="169"/>
      <c r="AB711" s="169"/>
      <c r="AC711" s="169"/>
      <c r="AD711" s="169"/>
      <c r="AE711" s="169"/>
      <c r="AF711" s="169"/>
      <c r="AG711" s="169"/>
      <c r="AH711" s="169"/>
    </row>
    <row r="712" ht="15.75" customHeight="1">
      <c r="A712" s="169"/>
      <c r="B712" s="117" t="s">
        <v>118</v>
      </c>
      <c r="C712" s="207" t="s">
        <v>686</v>
      </c>
      <c r="D712" s="118" t="s">
        <v>687</v>
      </c>
      <c r="E712" s="38" t="s">
        <v>168</v>
      </c>
      <c r="F712" s="38" t="s">
        <v>623</v>
      </c>
      <c r="G712" s="38" t="s">
        <v>192</v>
      </c>
      <c r="H712" s="121" t="s">
        <v>689</v>
      </c>
      <c r="I712" s="188">
        <v>45717.0</v>
      </c>
      <c r="J712" s="205">
        <f t="shared" ref="J712:J714" si="3">I712+65</f>
        <v>45782</v>
      </c>
      <c r="K712" s="189">
        <v>949.0</v>
      </c>
      <c r="L712" s="206"/>
      <c r="M712" s="191" t="s">
        <v>651</v>
      </c>
      <c r="N712" s="48" t="s">
        <v>4638</v>
      </c>
      <c r="O712" s="169"/>
      <c r="P712" s="169"/>
      <c r="Q712" s="169"/>
      <c r="R712" s="169"/>
      <c r="S712" s="169"/>
      <c r="T712" s="169"/>
      <c r="U712" s="169"/>
      <c r="V712" s="169"/>
      <c r="W712" s="169"/>
      <c r="X712" s="169"/>
      <c r="Y712" s="169"/>
      <c r="Z712" s="169"/>
      <c r="AA712" s="169"/>
      <c r="AB712" s="169"/>
      <c r="AC712" s="169"/>
      <c r="AD712" s="169"/>
      <c r="AE712" s="169"/>
      <c r="AF712" s="169"/>
      <c r="AG712" s="169"/>
      <c r="AH712" s="169"/>
    </row>
    <row r="713" ht="15.75" customHeight="1">
      <c r="A713" s="169"/>
      <c r="B713" s="117" t="s">
        <v>118</v>
      </c>
      <c r="C713" s="207" t="s">
        <v>690</v>
      </c>
      <c r="D713" s="118" t="s">
        <v>691</v>
      </c>
      <c r="E713" s="38" t="s">
        <v>168</v>
      </c>
      <c r="F713" s="38" t="s">
        <v>623</v>
      </c>
      <c r="G713" s="38" t="s">
        <v>184</v>
      </c>
      <c r="H713" s="121" t="s">
        <v>693</v>
      </c>
      <c r="I713" s="188">
        <v>45717.0</v>
      </c>
      <c r="J713" s="205">
        <f t="shared" si="3"/>
        <v>45782</v>
      </c>
      <c r="K713" s="189">
        <v>1166.0</v>
      </c>
      <c r="L713" s="206"/>
      <c r="M713" s="191" t="s">
        <v>649</v>
      </c>
      <c r="N713" s="48" t="s">
        <v>650</v>
      </c>
      <c r="O713" s="169"/>
      <c r="P713" s="169"/>
      <c r="Q713" s="169"/>
      <c r="R713" s="169"/>
      <c r="S713" s="169"/>
      <c r="T713" s="169"/>
      <c r="U713" s="169"/>
      <c r="V713" s="169"/>
      <c r="W713" s="169"/>
      <c r="X713" s="169"/>
      <c r="Y713" s="169"/>
      <c r="Z713" s="169"/>
      <c r="AA713" s="169"/>
      <c r="AB713" s="169"/>
      <c r="AC713" s="169"/>
      <c r="AD713" s="169"/>
      <c r="AE713" s="169"/>
      <c r="AF713" s="169"/>
      <c r="AG713" s="169"/>
      <c r="AH713" s="169"/>
    </row>
    <row r="714" ht="15.75" customHeight="1">
      <c r="A714" s="169"/>
      <c r="B714" s="117" t="s">
        <v>118</v>
      </c>
      <c r="C714" s="207" t="s">
        <v>699</v>
      </c>
      <c r="D714" s="118" t="s">
        <v>700</v>
      </c>
      <c r="E714" s="38" t="s">
        <v>168</v>
      </c>
      <c r="F714" s="38" t="s">
        <v>623</v>
      </c>
      <c r="G714" s="38" t="s">
        <v>184</v>
      </c>
      <c r="H714" s="121" t="s">
        <v>702</v>
      </c>
      <c r="I714" s="188">
        <v>45717.0</v>
      </c>
      <c r="J714" s="205">
        <f t="shared" si="3"/>
        <v>45782</v>
      </c>
      <c r="K714" s="189">
        <v>1060.0</v>
      </c>
      <c r="L714" s="206"/>
      <c r="M714" s="191" t="s">
        <v>636</v>
      </c>
      <c r="N714" s="48" t="s">
        <v>638</v>
      </c>
      <c r="O714" s="169"/>
      <c r="P714" s="169"/>
      <c r="Q714" s="169"/>
      <c r="R714" s="169"/>
      <c r="S714" s="169"/>
      <c r="T714" s="169"/>
      <c r="U714" s="169"/>
      <c r="V714" s="169"/>
      <c r="W714" s="169"/>
      <c r="X714" s="169"/>
      <c r="Y714" s="169"/>
      <c r="Z714" s="169"/>
      <c r="AA714" s="169"/>
      <c r="AB714" s="169"/>
      <c r="AC714" s="169"/>
      <c r="AD714" s="169"/>
      <c r="AE714" s="169"/>
      <c r="AF714" s="169"/>
      <c r="AG714" s="169"/>
      <c r="AH714" s="169"/>
    </row>
    <row r="715" ht="15.75" customHeight="1">
      <c r="A715" s="169"/>
      <c r="B715" s="117" t="s">
        <v>118</v>
      </c>
      <c r="C715" s="207" t="s">
        <v>4644</v>
      </c>
      <c r="D715" s="118" t="s">
        <v>4645</v>
      </c>
      <c r="E715" s="38" t="s">
        <v>168</v>
      </c>
      <c r="F715" s="38" t="s">
        <v>623</v>
      </c>
      <c r="G715" s="38" t="s">
        <v>18</v>
      </c>
      <c r="H715" s="121" t="s">
        <v>4646</v>
      </c>
      <c r="I715" s="188">
        <v>45717.0</v>
      </c>
      <c r="J715" s="188">
        <v>45905.0</v>
      </c>
      <c r="K715" s="189">
        <v>1526.0</v>
      </c>
      <c r="L715" s="206"/>
      <c r="M715" s="191" t="s">
        <v>2893</v>
      </c>
      <c r="N715" s="48"/>
      <c r="O715" s="169"/>
      <c r="P715" s="169"/>
      <c r="Q715" s="169"/>
      <c r="R715" s="169"/>
      <c r="S715" s="169"/>
      <c r="T715" s="169"/>
      <c r="U715" s="169"/>
      <c r="V715" s="169"/>
      <c r="W715" s="169"/>
      <c r="X715" s="169"/>
      <c r="Y715" s="169"/>
      <c r="Z715" s="169"/>
      <c r="AA715" s="169"/>
      <c r="AB715" s="169"/>
      <c r="AC715" s="169"/>
      <c r="AD715" s="169"/>
      <c r="AE715" s="169"/>
      <c r="AF715" s="169"/>
      <c r="AG715" s="169"/>
      <c r="AH715" s="169"/>
    </row>
    <row r="716" ht="15.75" customHeight="1">
      <c r="A716" s="169"/>
      <c r="B716" s="117" t="s">
        <v>118</v>
      </c>
      <c r="C716" s="207" t="s">
        <v>714</v>
      </c>
      <c r="D716" s="118" t="s">
        <v>715</v>
      </c>
      <c r="E716" s="38" t="s">
        <v>168</v>
      </c>
      <c r="F716" s="38" t="s">
        <v>623</v>
      </c>
      <c r="G716" s="38" t="s">
        <v>18</v>
      </c>
      <c r="H716" s="121" t="s">
        <v>717</v>
      </c>
      <c r="I716" s="188">
        <v>45717.0</v>
      </c>
      <c r="J716" s="205">
        <f>I716+65</f>
        <v>45782</v>
      </c>
      <c r="K716" s="189">
        <v>1606.0</v>
      </c>
      <c r="L716" s="206"/>
      <c r="M716" s="191" t="s">
        <v>2893</v>
      </c>
      <c r="N716" s="48"/>
      <c r="O716" s="169"/>
      <c r="P716" s="169"/>
      <c r="Q716" s="169"/>
      <c r="R716" s="169"/>
      <c r="S716" s="169"/>
      <c r="T716" s="169"/>
      <c r="U716" s="169"/>
      <c r="V716" s="169"/>
      <c r="W716" s="169"/>
      <c r="X716" s="169"/>
      <c r="Y716" s="169"/>
      <c r="Z716" s="169"/>
      <c r="AA716" s="169"/>
      <c r="AB716" s="169"/>
      <c r="AC716" s="169"/>
      <c r="AD716" s="169"/>
      <c r="AE716" s="169"/>
      <c r="AF716" s="169"/>
      <c r="AG716" s="169"/>
      <c r="AH716" s="169"/>
    </row>
    <row r="717" ht="15.75" customHeight="1">
      <c r="A717" s="169"/>
      <c r="B717" s="117" t="s">
        <v>118</v>
      </c>
      <c r="C717" s="207" t="s">
        <v>4647</v>
      </c>
      <c r="D717" s="118" t="s">
        <v>4648</v>
      </c>
      <c r="E717" s="38" t="s">
        <v>168</v>
      </c>
      <c r="F717" s="38" t="s">
        <v>623</v>
      </c>
      <c r="G717" s="38" t="s">
        <v>192</v>
      </c>
      <c r="H717" s="121" t="s">
        <v>4649</v>
      </c>
      <c r="I717" s="188">
        <v>45717.0</v>
      </c>
      <c r="J717" s="188">
        <v>45905.0</v>
      </c>
      <c r="K717" s="189">
        <v>1476.0</v>
      </c>
      <c r="L717" s="206"/>
      <c r="M717" s="191" t="s">
        <v>2893</v>
      </c>
      <c r="N717" s="48"/>
      <c r="O717" s="169"/>
      <c r="P717" s="169"/>
      <c r="Q717" s="169"/>
      <c r="R717" s="169"/>
      <c r="S717" s="169"/>
      <c r="T717" s="169"/>
      <c r="U717" s="169"/>
      <c r="V717" s="169"/>
      <c r="W717" s="169"/>
      <c r="X717" s="169"/>
      <c r="Y717" s="169"/>
      <c r="Z717" s="169"/>
      <c r="AA717" s="169"/>
      <c r="AB717" s="169"/>
      <c r="AC717" s="169"/>
      <c r="AD717" s="169"/>
      <c r="AE717" s="169"/>
      <c r="AF717" s="169"/>
      <c r="AG717" s="169"/>
      <c r="AH717" s="169"/>
    </row>
    <row r="718" ht="15.75" customHeight="1">
      <c r="A718" s="169"/>
      <c r="B718" s="117" t="s">
        <v>118</v>
      </c>
      <c r="C718" s="207" t="s">
        <v>4650</v>
      </c>
      <c r="D718" s="118" t="s">
        <v>4651</v>
      </c>
      <c r="E718" s="38" t="s">
        <v>168</v>
      </c>
      <c r="F718" s="38" t="s">
        <v>623</v>
      </c>
      <c r="G718" s="38" t="s">
        <v>184</v>
      </c>
      <c r="H718" s="121" t="s">
        <v>4652</v>
      </c>
      <c r="I718" s="188">
        <v>45717.0</v>
      </c>
      <c r="J718" s="188">
        <v>45905.0</v>
      </c>
      <c r="K718" s="189">
        <v>1238.0</v>
      </c>
      <c r="L718" s="206"/>
      <c r="M718" s="191" t="s">
        <v>2893</v>
      </c>
      <c r="N718" s="48"/>
      <c r="O718" s="169"/>
      <c r="P718" s="169"/>
      <c r="Q718" s="169"/>
      <c r="R718" s="169"/>
      <c r="S718" s="169"/>
      <c r="T718" s="169"/>
      <c r="U718" s="169"/>
      <c r="V718" s="169"/>
      <c r="W718" s="169"/>
      <c r="X718" s="169"/>
      <c r="Y718" s="169"/>
      <c r="Z718" s="169"/>
      <c r="AA718" s="169"/>
      <c r="AB718" s="169"/>
      <c r="AC718" s="169"/>
      <c r="AD718" s="169"/>
      <c r="AE718" s="169"/>
      <c r="AF718" s="169"/>
      <c r="AG718" s="169"/>
      <c r="AH718" s="169"/>
    </row>
    <row r="719" ht="15.75" customHeight="1">
      <c r="A719" s="169"/>
      <c r="B719" s="117" t="s">
        <v>118</v>
      </c>
      <c r="C719" s="207" t="s">
        <v>4653</v>
      </c>
      <c r="D719" s="118" t="s">
        <v>4654</v>
      </c>
      <c r="E719" s="38" t="s">
        <v>168</v>
      </c>
      <c r="F719" s="38" t="s">
        <v>623</v>
      </c>
      <c r="G719" s="38" t="s">
        <v>184</v>
      </c>
      <c r="H719" s="121" t="s">
        <v>4655</v>
      </c>
      <c r="I719" s="188">
        <v>45717.0</v>
      </c>
      <c r="J719" s="188">
        <v>45935.0</v>
      </c>
      <c r="K719" s="189">
        <v>1764.0</v>
      </c>
      <c r="L719" s="206"/>
      <c r="M719" s="191" t="s">
        <v>2893</v>
      </c>
      <c r="N719" s="48"/>
      <c r="O719" s="169"/>
      <c r="P719" s="169"/>
      <c r="Q719" s="169"/>
      <c r="R719" s="169"/>
      <c r="S719" s="169"/>
      <c r="T719" s="169"/>
      <c r="U719" s="169"/>
      <c r="V719" s="169"/>
      <c r="W719" s="169"/>
      <c r="X719" s="169"/>
      <c r="Y719" s="169"/>
      <c r="Z719" s="169"/>
      <c r="AA719" s="169"/>
      <c r="AB719" s="169"/>
      <c r="AC719" s="169"/>
      <c r="AD719" s="169"/>
      <c r="AE719" s="169"/>
      <c r="AF719" s="169"/>
      <c r="AG719" s="169"/>
      <c r="AH719" s="169"/>
    </row>
    <row r="720" ht="15.75" customHeight="1">
      <c r="A720" s="169"/>
      <c r="B720" s="117" t="s">
        <v>118</v>
      </c>
      <c r="C720" s="207" t="s">
        <v>4656</v>
      </c>
      <c r="D720" s="118" t="s">
        <v>700</v>
      </c>
      <c r="E720" s="38" t="s">
        <v>168</v>
      </c>
      <c r="F720" s="38" t="s">
        <v>623</v>
      </c>
      <c r="G720" s="38" t="s">
        <v>184</v>
      </c>
      <c r="H720" s="121" t="s">
        <v>4657</v>
      </c>
      <c r="I720" s="188">
        <v>45717.0</v>
      </c>
      <c r="J720" s="188">
        <v>45905.0</v>
      </c>
      <c r="K720" s="189">
        <v>773.0</v>
      </c>
      <c r="L720" s="206"/>
      <c r="M720" s="191" t="s">
        <v>2893</v>
      </c>
      <c r="N720" s="48"/>
      <c r="O720" s="169"/>
      <c r="P720" s="169"/>
      <c r="Q720" s="169"/>
      <c r="R720" s="169"/>
      <c r="S720" s="169"/>
      <c r="T720" s="169"/>
      <c r="U720" s="169"/>
      <c r="V720" s="169"/>
      <c r="W720" s="169"/>
      <c r="X720" s="169"/>
      <c r="Y720" s="169"/>
      <c r="Z720" s="169"/>
      <c r="AA720" s="169"/>
      <c r="AB720" s="169"/>
      <c r="AC720" s="169"/>
      <c r="AD720" s="169"/>
      <c r="AE720" s="169"/>
      <c r="AF720" s="169"/>
      <c r="AG720" s="169"/>
      <c r="AH720" s="169"/>
    </row>
    <row r="721" ht="15.75" customHeight="1">
      <c r="A721" s="169"/>
      <c r="B721" s="117" t="s">
        <v>118</v>
      </c>
      <c r="C721" s="207" t="s">
        <v>4658</v>
      </c>
      <c r="D721" s="118" t="s">
        <v>691</v>
      </c>
      <c r="E721" s="38" t="s">
        <v>168</v>
      </c>
      <c r="F721" s="38" t="s">
        <v>623</v>
      </c>
      <c r="G721" s="38" t="s">
        <v>184</v>
      </c>
      <c r="H721" s="121" t="s">
        <v>4659</v>
      </c>
      <c r="I721" s="188">
        <v>45717.0</v>
      </c>
      <c r="J721" s="188">
        <v>45935.0</v>
      </c>
      <c r="K721" s="189">
        <v>839.0</v>
      </c>
      <c r="L721" s="206"/>
      <c r="M721" s="191" t="s">
        <v>2893</v>
      </c>
      <c r="N721" s="48"/>
      <c r="O721" s="169"/>
      <c r="P721" s="169"/>
      <c r="Q721" s="169"/>
      <c r="R721" s="169"/>
      <c r="S721" s="169"/>
      <c r="T721" s="169"/>
      <c r="U721" s="169"/>
      <c r="V721" s="169"/>
      <c r="W721" s="169"/>
      <c r="X721" s="169"/>
      <c r="Y721" s="169"/>
      <c r="Z721" s="169"/>
      <c r="AA721" s="169"/>
      <c r="AB721" s="169"/>
      <c r="AC721" s="169"/>
      <c r="AD721" s="169"/>
      <c r="AE721" s="169"/>
      <c r="AF721" s="169"/>
      <c r="AG721" s="169"/>
      <c r="AH721" s="169"/>
    </row>
    <row r="722" ht="27.0" customHeight="1">
      <c r="A722" s="169"/>
      <c r="B722" s="117" t="s">
        <v>23</v>
      </c>
      <c r="C722" s="207" t="s">
        <v>4660</v>
      </c>
      <c r="D722" s="118" t="s">
        <v>1532</v>
      </c>
      <c r="E722" s="38"/>
      <c r="F722" s="38"/>
      <c r="G722" s="38"/>
      <c r="H722" s="121" t="s">
        <v>4661</v>
      </c>
      <c r="I722" s="188">
        <v>45717.0</v>
      </c>
      <c r="J722" s="188">
        <v>45905.0</v>
      </c>
      <c r="K722" s="189">
        <v>64.0</v>
      </c>
      <c r="L722" s="206"/>
      <c r="M722" s="191" t="s">
        <v>1570</v>
      </c>
      <c r="N722" s="48" t="s">
        <v>1571</v>
      </c>
      <c r="O722" s="169"/>
      <c r="P722" s="169"/>
      <c r="Q722" s="169"/>
      <c r="R722" s="169"/>
      <c r="S722" s="169"/>
      <c r="T722" s="169"/>
      <c r="U722" s="169"/>
      <c r="V722" s="169"/>
      <c r="W722" s="169"/>
      <c r="X722" s="169"/>
      <c r="Y722" s="169"/>
      <c r="Z722" s="169"/>
      <c r="AA722" s="169"/>
      <c r="AB722" s="169"/>
      <c r="AC722" s="169"/>
      <c r="AD722" s="169"/>
      <c r="AE722" s="169"/>
      <c r="AF722" s="169"/>
      <c r="AG722" s="169"/>
      <c r="AH722" s="169"/>
    </row>
    <row r="723" ht="27.0" customHeight="1">
      <c r="A723" s="169"/>
      <c r="B723" s="117" t="s">
        <v>23</v>
      </c>
      <c r="C723" s="207" t="s">
        <v>4662</v>
      </c>
      <c r="D723" s="118" t="s">
        <v>1532</v>
      </c>
      <c r="E723" s="38"/>
      <c r="F723" s="38"/>
      <c r="G723" s="38"/>
      <c r="H723" s="121" t="s">
        <v>4663</v>
      </c>
      <c r="I723" s="188">
        <v>45717.0</v>
      </c>
      <c r="J723" s="188">
        <v>45992.0</v>
      </c>
      <c r="K723" s="189">
        <v>69.0</v>
      </c>
      <c r="L723" s="206"/>
      <c r="M723" s="191" t="s">
        <v>1599</v>
      </c>
      <c r="N723" s="48" t="s">
        <v>1600</v>
      </c>
      <c r="O723" s="169"/>
      <c r="P723" s="169"/>
      <c r="Q723" s="169"/>
      <c r="R723" s="169"/>
      <c r="S723" s="169"/>
      <c r="T723" s="169"/>
      <c r="U723" s="169"/>
      <c r="V723" s="169"/>
      <c r="W723" s="169"/>
      <c r="X723" s="169"/>
      <c r="Y723" s="169"/>
      <c r="Z723" s="169"/>
      <c r="AA723" s="169"/>
      <c r="AB723" s="169"/>
      <c r="AC723" s="169"/>
      <c r="AD723" s="169"/>
      <c r="AE723" s="169"/>
      <c r="AF723" s="169"/>
      <c r="AG723" s="169"/>
      <c r="AH723" s="169"/>
    </row>
    <row r="724" ht="27.0" customHeight="1">
      <c r="A724" s="169"/>
      <c r="B724" s="117" t="s">
        <v>23</v>
      </c>
      <c r="C724" s="207" t="s">
        <v>4664</v>
      </c>
      <c r="D724" s="118" t="s">
        <v>1935</v>
      </c>
      <c r="E724" s="38"/>
      <c r="F724" s="38"/>
      <c r="G724" s="38"/>
      <c r="H724" s="121" t="s">
        <v>4665</v>
      </c>
      <c r="I724" s="188">
        <v>45717.0</v>
      </c>
      <c r="J724" s="188">
        <v>45748.0</v>
      </c>
      <c r="K724" s="189">
        <v>23.0</v>
      </c>
      <c r="L724" s="206"/>
      <c r="M724" s="191" t="s">
        <v>2893</v>
      </c>
      <c r="N724" s="48"/>
      <c r="O724" s="169"/>
      <c r="P724" s="169"/>
      <c r="Q724" s="169"/>
      <c r="R724" s="169"/>
      <c r="S724" s="169"/>
      <c r="T724" s="169"/>
      <c r="U724" s="169"/>
      <c r="V724" s="169"/>
      <c r="W724" s="169"/>
      <c r="X724" s="169"/>
      <c r="Y724" s="169"/>
      <c r="Z724" s="169"/>
      <c r="AA724" s="169"/>
      <c r="AB724" s="169"/>
      <c r="AC724" s="169"/>
      <c r="AD724" s="169"/>
      <c r="AE724" s="169"/>
      <c r="AF724" s="169"/>
      <c r="AG724" s="169"/>
      <c r="AH724" s="169"/>
    </row>
    <row r="725" ht="15.75" customHeight="1">
      <c r="A725" s="169"/>
      <c r="B725" s="38" t="s">
        <v>76</v>
      </c>
      <c r="C725" s="207" t="s">
        <v>4666</v>
      </c>
      <c r="D725" s="118" t="s">
        <v>4667</v>
      </c>
      <c r="E725" s="38"/>
      <c r="F725" s="38"/>
      <c r="G725" s="38"/>
      <c r="H725" s="121" t="s">
        <v>4668</v>
      </c>
      <c r="I725" s="188">
        <v>45748.0</v>
      </c>
      <c r="J725" s="188">
        <v>45778.0</v>
      </c>
      <c r="K725" s="189">
        <v>127.0</v>
      </c>
      <c r="L725" s="206"/>
      <c r="M725" s="191" t="s">
        <v>2893</v>
      </c>
      <c r="N725" s="48"/>
      <c r="O725" s="169"/>
      <c r="P725" s="169"/>
      <c r="Q725" s="169"/>
      <c r="R725" s="169"/>
      <c r="S725" s="169"/>
      <c r="T725" s="169"/>
      <c r="U725" s="169"/>
      <c r="V725" s="169"/>
      <c r="W725" s="169"/>
      <c r="X725" s="169"/>
      <c r="Y725" s="169"/>
      <c r="Z725" s="169"/>
      <c r="AA725" s="169"/>
      <c r="AB725" s="169"/>
      <c r="AC725" s="169"/>
      <c r="AD725" s="169"/>
      <c r="AE725" s="169"/>
      <c r="AF725" s="169"/>
      <c r="AG725" s="169"/>
      <c r="AH725" s="169"/>
    </row>
    <row r="726" ht="15.75" customHeight="1">
      <c r="A726" s="169"/>
      <c r="B726" s="38" t="s">
        <v>76</v>
      </c>
      <c r="C726" s="207" t="s">
        <v>4669</v>
      </c>
      <c r="D726" s="118" t="s">
        <v>4670</v>
      </c>
      <c r="E726" s="38"/>
      <c r="F726" s="38"/>
      <c r="G726" s="38"/>
      <c r="H726" s="121" t="s">
        <v>4671</v>
      </c>
      <c r="I726" s="188">
        <v>45748.0</v>
      </c>
      <c r="J726" s="188">
        <v>45778.0</v>
      </c>
      <c r="K726" s="189">
        <v>444.0</v>
      </c>
      <c r="L726" s="206"/>
      <c r="M726" s="191" t="s">
        <v>92</v>
      </c>
      <c r="N726" s="48" t="s">
        <v>94</v>
      </c>
      <c r="O726" s="169"/>
      <c r="P726" s="169"/>
      <c r="Q726" s="169"/>
      <c r="R726" s="169"/>
      <c r="S726" s="169"/>
      <c r="T726" s="169"/>
      <c r="U726" s="169"/>
      <c r="V726" s="169"/>
      <c r="W726" s="169"/>
      <c r="X726" s="169"/>
      <c r="Y726" s="169"/>
      <c r="Z726" s="169"/>
      <c r="AA726" s="169"/>
      <c r="AB726" s="169"/>
      <c r="AC726" s="169"/>
      <c r="AD726" s="169"/>
      <c r="AE726" s="169"/>
      <c r="AF726" s="169"/>
      <c r="AG726" s="169"/>
      <c r="AH726" s="169"/>
    </row>
    <row r="727" ht="15.75" customHeight="1">
      <c r="A727" s="169"/>
      <c r="B727" s="38" t="s">
        <v>23</v>
      </c>
      <c r="C727" s="207" t="s">
        <v>4672</v>
      </c>
      <c r="D727" s="118" t="s">
        <v>1532</v>
      </c>
      <c r="E727" s="38"/>
      <c r="F727" s="38"/>
      <c r="G727" s="38"/>
      <c r="H727" s="121" t="s">
        <v>4673</v>
      </c>
      <c r="I727" s="188">
        <v>45748.0</v>
      </c>
      <c r="J727" s="188">
        <v>45778.0</v>
      </c>
      <c r="K727" s="189">
        <v>46.0</v>
      </c>
      <c r="L727" s="206"/>
      <c r="M727" s="191" t="s">
        <v>1542</v>
      </c>
      <c r="N727" s="48" t="s">
        <v>1543</v>
      </c>
      <c r="O727" s="169"/>
      <c r="P727" s="169"/>
      <c r="Q727" s="169"/>
      <c r="R727" s="169"/>
      <c r="S727" s="169"/>
      <c r="T727" s="169"/>
      <c r="U727" s="169"/>
      <c r="V727" s="169"/>
      <c r="W727" s="169"/>
      <c r="X727" s="169"/>
      <c r="Y727" s="169"/>
      <c r="Z727" s="169"/>
      <c r="AA727" s="169"/>
      <c r="AB727" s="169"/>
      <c r="AC727" s="169"/>
      <c r="AD727" s="169"/>
      <c r="AE727" s="169"/>
      <c r="AF727" s="169"/>
      <c r="AG727" s="169"/>
      <c r="AH727" s="169"/>
    </row>
    <row r="728" ht="15.75" customHeight="1">
      <c r="A728" s="169"/>
      <c r="B728" s="38" t="s">
        <v>118</v>
      </c>
      <c r="C728" s="191" t="s">
        <v>3324</v>
      </c>
      <c r="D728" s="40" t="s">
        <v>3321</v>
      </c>
      <c r="E728" s="40" t="s">
        <v>121</v>
      </c>
      <c r="F728" s="40" t="s">
        <v>3322</v>
      </c>
      <c r="G728" s="39" t="s">
        <v>123</v>
      </c>
      <c r="H728" s="42" t="s">
        <v>3325</v>
      </c>
      <c r="I728" s="188">
        <v>45748.0</v>
      </c>
      <c r="J728" s="188">
        <v>45992.0</v>
      </c>
      <c r="K728" s="189">
        <v>1445.0</v>
      </c>
      <c r="L728" s="206"/>
      <c r="M728" s="191" t="s">
        <v>2893</v>
      </c>
      <c r="N728" s="48"/>
      <c r="O728" s="169"/>
      <c r="P728" s="169"/>
      <c r="Q728" s="169"/>
      <c r="R728" s="169"/>
      <c r="S728" s="169"/>
      <c r="T728" s="169"/>
      <c r="U728" s="169"/>
      <c r="V728" s="169"/>
      <c r="W728" s="169"/>
      <c r="X728" s="169"/>
      <c r="Y728" s="169"/>
      <c r="Z728" s="169"/>
      <c r="AA728" s="169"/>
      <c r="AB728" s="169"/>
      <c r="AC728" s="169"/>
      <c r="AD728" s="169"/>
      <c r="AE728" s="169"/>
      <c r="AF728" s="169"/>
      <c r="AG728" s="169"/>
      <c r="AH728" s="169"/>
    </row>
    <row r="729" ht="15.75" customHeight="1">
      <c r="A729" s="169"/>
      <c r="B729" s="38" t="s">
        <v>26</v>
      </c>
      <c r="C729" s="191" t="s">
        <v>4674</v>
      </c>
      <c r="D729" s="40" t="s">
        <v>1369</v>
      </c>
      <c r="E729" s="40"/>
      <c r="F729" s="40" t="s">
        <v>414</v>
      </c>
      <c r="G729" s="39" t="s">
        <v>26</v>
      </c>
      <c r="H729" s="48" t="s">
        <v>4675</v>
      </c>
      <c r="I729" s="188">
        <v>45748.0</v>
      </c>
      <c r="J729" s="188">
        <v>45809.0</v>
      </c>
      <c r="K729" s="189">
        <v>116.0</v>
      </c>
      <c r="L729" s="206"/>
      <c r="M729" s="191" t="s">
        <v>2893</v>
      </c>
      <c r="N729" s="48"/>
      <c r="O729" s="169"/>
      <c r="P729" s="169"/>
      <c r="Q729" s="169"/>
      <c r="R729" s="169"/>
      <c r="S729" s="169"/>
      <c r="T729" s="169"/>
      <c r="U729" s="169"/>
      <c r="V729" s="169"/>
      <c r="W729" s="169"/>
      <c r="X729" s="169"/>
      <c r="Y729" s="169"/>
      <c r="Z729" s="169"/>
      <c r="AA729" s="169"/>
      <c r="AB729" s="169"/>
      <c r="AC729" s="169"/>
      <c r="AD729" s="169"/>
      <c r="AE729" s="169"/>
      <c r="AF729" s="169"/>
      <c r="AG729" s="169"/>
      <c r="AH729" s="169"/>
    </row>
    <row r="730" ht="15.75" customHeight="1">
      <c r="A730" s="169"/>
      <c r="B730" s="38" t="s">
        <v>23</v>
      </c>
      <c r="C730" s="191" t="s">
        <v>1757</v>
      </c>
      <c r="D730" s="40" t="s">
        <v>1753</v>
      </c>
      <c r="E730" s="118"/>
      <c r="F730" s="40"/>
      <c r="G730" s="39"/>
      <c r="H730" s="48" t="s">
        <v>1759</v>
      </c>
      <c r="I730" s="188">
        <v>45748.0</v>
      </c>
      <c r="J730" s="205">
        <f>I730+65</f>
        <v>45813</v>
      </c>
      <c r="K730" s="189">
        <v>46.0</v>
      </c>
      <c r="L730" s="206"/>
      <c r="M730" s="191" t="s">
        <v>1760</v>
      </c>
      <c r="N730" s="48" t="s">
        <v>1761</v>
      </c>
      <c r="O730" s="169"/>
      <c r="P730" s="169"/>
      <c r="Q730" s="169"/>
      <c r="R730" s="169"/>
      <c r="S730" s="169"/>
      <c r="T730" s="169"/>
      <c r="U730" s="169"/>
      <c r="V730" s="169"/>
      <c r="W730" s="169"/>
      <c r="X730" s="169"/>
      <c r="Y730" s="169"/>
      <c r="Z730" s="169"/>
      <c r="AA730" s="169"/>
      <c r="AB730" s="169"/>
      <c r="AC730" s="169"/>
      <c r="AD730" s="169"/>
      <c r="AE730" s="169"/>
      <c r="AF730" s="169"/>
      <c r="AG730" s="169"/>
      <c r="AH730" s="169"/>
    </row>
    <row r="731" ht="30.0" customHeight="1">
      <c r="A731" s="169"/>
      <c r="B731" s="38" t="s">
        <v>23</v>
      </c>
      <c r="C731" s="191" t="s">
        <v>4676</v>
      </c>
      <c r="D731" s="40" t="s">
        <v>1935</v>
      </c>
      <c r="E731" s="118"/>
      <c r="F731" s="40"/>
      <c r="G731" s="39"/>
      <c r="H731" s="48" t="s">
        <v>4677</v>
      </c>
      <c r="I731" s="188">
        <v>45748.0</v>
      </c>
      <c r="J731" s="188">
        <v>45778.0</v>
      </c>
      <c r="K731" s="189">
        <v>74.0</v>
      </c>
      <c r="L731" s="206"/>
      <c r="M731" s="191" t="s">
        <v>2893</v>
      </c>
      <c r="N731" s="48"/>
      <c r="O731" s="169"/>
      <c r="P731" s="169"/>
      <c r="Q731" s="169"/>
      <c r="R731" s="169"/>
      <c r="S731" s="169"/>
      <c r="T731" s="169"/>
      <c r="U731" s="169"/>
      <c r="V731" s="169"/>
      <c r="W731" s="169"/>
      <c r="X731" s="169"/>
      <c r="Y731" s="169"/>
      <c r="Z731" s="169"/>
      <c r="AA731" s="169"/>
      <c r="AB731" s="169"/>
      <c r="AC731" s="169"/>
      <c r="AD731" s="169"/>
      <c r="AE731" s="169"/>
      <c r="AF731" s="169"/>
      <c r="AG731" s="169"/>
      <c r="AH731" s="169"/>
    </row>
    <row r="732" ht="30.0" customHeight="1">
      <c r="A732" s="169"/>
      <c r="B732" s="38" t="s">
        <v>23</v>
      </c>
      <c r="C732" s="191" t="s">
        <v>4678</v>
      </c>
      <c r="D732" s="40" t="s">
        <v>1935</v>
      </c>
      <c r="E732" s="118"/>
      <c r="F732" s="40"/>
      <c r="G732" s="39"/>
      <c r="H732" s="48" t="s">
        <v>4679</v>
      </c>
      <c r="I732" s="188">
        <v>45748.0</v>
      </c>
      <c r="J732" s="188">
        <v>45778.0</v>
      </c>
      <c r="K732" s="189">
        <v>74.0</v>
      </c>
      <c r="L732" s="206"/>
      <c r="M732" s="191" t="s">
        <v>2893</v>
      </c>
      <c r="N732" s="48"/>
      <c r="O732" s="169"/>
      <c r="P732" s="169"/>
      <c r="Q732" s="169"/>
      <c r="R732" s="169"/>
      <c r="S732" s="169"/>
      <c r="T732" s="169"/>
      <c r="U732" s="169"/>
      <c r="V732" s="169"/>
      <c r="W732" s="169"/>
      <c r="X732" s="169"/>
      <c r="Y732" s="169"/>
      <c r="Z732" s="169"/>
      <c r="AA732" s="169"/>
      <c r="AB732" s="169"/>
      <c r="AC732" s="169"/>
      <c r="AD732" s="169"/>
      <c r="AE732" s="169"/>
      <c r="AF732" s="169"/>
      <c r="AG732" s="169"/>
      <c r="AH732" s="169"/>
    </row>
    <row r="733" ht="15.75" customHeight="1">
      <c r="A733" s="169"/>
      <c r="B733" s="99" t="s">
        <v>1031</v>
      </c>
      <c r="C733" s="191" t="s">
        <v>4680</v>
      </c>
      <c r="D733" s="39" t="s">
        <v>4681</v>
      </c>
      <c r="E733" s="39" t="s">
        <v>168</v>
      </c>
      <c r="F733" s="39" t="s">
        <v>1041</v>
      </c>
      <c r="G733" s="39" t="s">
        <v>1035</v>
      </c>
      <c r="H733" s="125" t="s">
        <v>4682</v>
      </c>
      <c r="I733" s="188">
        <v>45748.0</v>
      </c>
      <c r="J733" s="188">
        <v>45777.0</v>
      </c>
      <c r="K733" s="189">
        <v>4510.0</v>
      </c>
      <c r="L733" s="206"/>
      <c r="M733" s="191" t="s">
        <v>2893</v>
      </c>
      <c r="N733" s="48"/>
      <c r="O733" s="169"/>
      <c r="P733" s="169"/>
      <c r="Q733" s="169"/>
      <c r="R733" s="169"/>
      <c r="S733" s="169"/>
      <c r="T733" s="169"/>
      <c r="U733" s="169"/>
      <c r="V733" s="169"/>
      <c r="W733" s="169"/>
      <c r="X733" s="169"/>
      <c r="Y733" s="169"/>
      <c r="Z733" s="169"/>
      <c r="AA733" s="169"/>
      <c r="AB733" s="169"/>
      <c r="AC733" s="169"/>
      <c r="AD733" s="169"/>
      <c r="AE733" s="169"/>
      <c r="AF733" s="169"/>
      <c r="AG733" s="169"/>
      <c r="AH733" s="169"/>
    </row>
    <row r="734" ht="45.75" customHeight="1">
      <c r="A734" s="169"/>
      <c r="B734" s="38" t="s">
        <v>2575</v>
      </c>
      <c r="C734" s="191" t="s">
        <v>4683</v>
      </c>
      <c r="D734" s="39" t="s">
        <v>4684</v>
      </c>
      <c r="E734" s="38"/>
      <c r="F734" s="38"/>
      <c r="G734" s="38"/>
      <c r="H734" s="42" t="s">
        <v>4685</v>
      </c>
      <c r="I734" s="188">
        <v>45778.0</v>
      </c>
      <c r="J734" s="188">
        <v>45778.0</v>
      </c>
      <c r="K734" s="189" t="s">
        <v>2147</v>
      </c>
      <c r="L734" s="206"/>
      <c r="M734" s="191" t="s">
        <v>2893</v>
      </c>
      <c r="N734" s="48"/>
      <c r="O734" s="169"/>
      <c r="P734" s="169"/>
      <c r="Q734" s="169"/>
      <c r="R734" s="169"/>
      <c r="S734" s="169"/>
      <c r="T734" s="169"/>
      <c r="U734" s="169"/>
      <c r="V734" s="169"/>
      <c r="W734" s="169"/>
      <c r="X734" s="169"/>
      <c r="Y734" s="169"/>
      <c r="Z734" s="169"/>
      <c r="AA734" s="169"/>
      <c r="AB734" s="169"/>
      <c r="AC734" s="169"/>
      <c r="AD734" s="169"/>
      <c r="AE734" s="169"/>
      <c r="AF734" s="169"/>
      <c r="AG734" s="169"/>
      <c r="AH734" s="169"/>
    </row>
    <row r="735" ht="45.75" customHeight="1">
      <c r="A735" s="169"/>
      <c r="B735" s="38" t="s">
        <v>4686</v>
      </c>
      <c r="C735" s="191" t="s">
        <v>4687</v>
      </c>
      <c r="D735" s="39" t="s">
        <v>4688</v>
      </c>
      <c r="E735" s="38"/>
      <c r="F735" s="38"/>
      <c r="G735" s="38"/>
      <c r="H735" s="42" t="s">
        <v>4689</v>
      </c>
      <c r="I735" s="188">
        <v>45778.0</v>
      </c>
      <c r="J735" s="188">
        <v>45778.0</v>
      </c>
      <c r="K735" s="189">
        <v>1245.0</v>
      </c>
      <c r="L735" s="206"/>
      <c r="M735" s="191" t="s">
        <v>2893</v>
      </c>
      <c r="N735" s="48"/>
      <c r="O735" s="169"/>
      <c r="P735" s="169"/>
      <c r="Q735" s="169"/>
      <c r="R735" s="169"/>
      <c r="S735" s="169"/>
      <c r="T735" s="169"/>
      <c r="U735" s="169"/>
      <c r="V735" s="169"/>
      <c r="W735" s="169"/>
      <c r="X735" s="169"/>
      <c r="Y735" s="169"/>
      <c r="Z735" s="169"/>
      <c r="AA735" s="169"/>
      <c r="AB735" s="169"/>
      <c r="AC735" s="169"/>
      <c r="AD735" s="169"/>
      <c r="AE735" s="169"/>
      <c r="AF735" s="169"/>
      <c r="AG735" s="169"/>
      <c r="AH735" s="169"/>
    </row>
    <row r="736" ht="45.75" customHeight="1">
      <c r="A736" s="169"/>
      <c r="B736" s="38" t="s">
        <v>1031</v>
      </c>
      <c r="C736" s="191" t="s">
        <v>4690</v>
      </c>
      <c r="D736" s="39" t="s">
        <v>4691</v>
      </c>
      <c r="E736" s="38" t="s">
        <v>168</v>
      </c>
      <c r="F736" s="38" t="s">
        <v>1041</v>
      </c>
      <c r="G736" s="38" t="s">
        <v>1035</v>
      </c>
      <c r="H736" s="42" t="s">
        <v>4692</v>
      </c>
      <c r="I736" s="188">
        <v>45778.0</v>
      </c>
      <c r="J736" s="188">
        <v>45962.0</v>
      </c>
      <c r="K736" s="189">
        <v>3450.0</v>
      </c>
      <c r="L736" s="206"/>
      <c r="M736" s="191" t="s">
        <v>1076</v>
      </c>
      <c r="N736" s="48" t="s">
        <v>1078</v>
      </c>
      <c r="O736" s="169"/>
      <c r="P736" s="169"/>
      <c r="Q736" s="169"/>
      <c r="R736" s="169"/>
      <c r="S736" s="169"/>
      <c r="T736" s="169"/>
      <c r="U736" s="169"/>
      <c r="V736" s="169"/>
      <c r="W736" s="169"/>
      <c r="X736" s="169"/>
      <c r="Y736" s="169"/>
      <c r="Z736" s="169"/>
      <c r="AA736" s="169"/>
      <c r="AB736" s="169"/>
      <c r="AC736" s="169"/>
      <c r="AD736" s="169"/>
      <c r="AE736" s="169"/>
      <c r="AF736" s="169"/>
      <c r="AG736" s="169"/>
      <c r="AH736" s="169"/>
    </row>
    <row r="737" ht="45.75" customHeight="1">
      <c r="A737" s="169"/>
      <c r="B737" s="38" t="s">
        <v>1031</v>
      </c>
      <c r="C737" s="191" t="s">
        <v>4009</v>
      </c>
      <c r="D737" s="39" t="s">
        <v>4693</v>
      </c>
      <c r="E737" s="38" t="s">
        <v>168</v>
      </c>
      <c r="F737" s="38" t="s">
        <v>1047</v>
      </c>
      <c r="G737" s="38" t="s">
        <v>1035</v>
      </c>
      <c r="H737" s="42" t="s">
        <v>4010</v>
      </c>
      <c r="I737" s="188">
        <v>45778.0</v>
      </c>
      <c r="J737" s="188">
        <v>45839.0</v>
      </c>
      <c r="K737" s="189">
        <v>3890.0</v>
      </c>
      <c r="L737" s="206"/>
      <c r="M737" s="191" t="s">
        <v>1074</v>
      </c>
      <c r="N737" s="48" t="s">
        <v>1075</v>
      </c>
      <c r="O737" s="169"/>
      <c r="P737" s="169"/>
      <c r="Q737" s="169"/>
      <c r="R737" s="169"/>
      <c r="S737" s="169"/>
      <c r="T737" s="169"/>
      <c r="U737" s="169"/>
      <c r="V737" s="169"/>
      <c r="W737" s="169"/>
      <c r="X737" s="169"/>
      <c r="Y737" s="169"/>
      <c r="Z737" s="169"/>
      <c r="AA737" s="169"/>
      <c r="AB737" s="169"/>
      <c r="AC737" s="169"/>
      <c r="AD737" s="169"/>
      <c r="AE737" s="169"/>
      <c r="AF737" s="169"/>
      <c r="AG737" s="169"/>
      <c r="AH737" s="169"/>
    </row>
    <row r="738" ht="45.75" customHeight="1">
      <c r="A738" s="169"/>
      <c r="B738" s="38" t="s">
        <v>1031</v>
      </c>
      <c r="C738" s="191" t="s">
        <v>4694</v>
      </c>
      <c r="D738" s="39" t="s">
        <v>4695</v>
      </c>
      <c r="E738" s="38" t="s">
        <v>168</v>
      </c>
      <c r="F738" s="38" t="s">
        <v>1047</v>
      </c>
      <c r="G738" s="38" t="s">
        <v>1035</v>
      </c>
      <c r="H738" s="42" t="s">
        <v>4696</v>
      </c>
      <c r="I738" s="188">
        <v>45778.0</v>
      </c>
      <c r="J738" s="188">
        <v>45901.0</v>
      </c>
      <c r="K738" s="189">
        <v>2840.0</v>
      </c>
      <c r="L738" s="206"/>
      <c r="M738" s="191" t="s">
        <v>1071</v>
      </c>
      <c r="N738" s="48" t="s">
        <v>1073</v>
      </c>
      <c r="O738" s="169"/>
      <c r="P738" s="169"/>
      <c r="Q738" s="169"/>
      <c r="R738" s="169"/>
      <c r="S738" s="169"/>
      <c r="T738" s="169"/>
      <c r="U738" s="169"/>
      <c r="V738" s="169"/>
      <c r="W738" s="169"/>
      <c r="X738" s="169"/>
      <c r="Y738" s="169"/>
      <c r="Z738" s="169"/>
      <c r="AA738" s="169"/>
      <c r="AB738" s="169"/>
      <c r="AC738" s="169"/>
      <c r="AD738" s="169"/>
      <c r="AE738" s="169"/>
      <c r="AF738" s="169"/>
      <c r="AG738" s="169"/>
      <c r="AH738" s="169"/>
    </row>
    <row r="739" ht="45.75" customHeight="1">
      <c r="A739" s="169"/>
      <c r="B739" s="38" t="s">
        <v>2653</v>
      </c>
      <c r="C739" s="191" t="s">
        <v>4697</v>
      </c>
      <c r="D739" s="39" t="s">
        <v>4698</v>
      </c>
      <c r="E739" s="38"/>
      <c r="F739" s="38"/>
      <c r="G739" s="38"/>
      <c r="H739" s="42" t="s">
        <v>4699</v>
      </c>
      <c r="I739" s="188">
        <v>45809.0</v>
      </c>
      <c r="J739" s="188">
        <v>45839.0</v>
      </c>
      <c r="K739" s="189">
        <v>706.0</v>
      </c>
      <c r="L739" s="206"/>
      <c r="M739" s="191" t="s">
        <v>4545</v>
      </c>
      <c r="N739" s="48"/>
      <c r="O739" s="169"/>
      <c r="P739" s="169"/>
      <c r="Q739" s="169"/>
      <c r="R739" s="169"/>
      <c r="S739" s="169"/>
      <c r="T739" s="169"/>
      <c r="U739" s="169"/>
      <c r="V739" s="169"/>
      <c r="W739" s="169"/>
      <c r="X739" s="169"/>
      <c r="Y739" s="169"/>
      <c r="Z739" s="169"/>
      <c r="AA739" s="169"/>
      <c r="AB739" s="169"/>
      <c r="AC739" s="169"/>
      <c r="AD739" s="169"/>
      <c r="AE739" s="169"/>
      <c r="AF739" s="169"/>
      <c r="AG739" s="169"/>
      <c r="AH739" s="169"/>
    </row>
    <row r="740" ht="45.75" customHeight="1">
      <c r="A740" s="169"/>
      <c r="B740" s="38" t="s">
        <v>2644</v>
      </c>
      <c r="C740" s="191" t="s">
        <v>4700</v>
      </c>
      <c r="D740" s="39" t="s">
        <v>4701</v>
      </c>
      <c r="E740" s="38"/>
      <c r="F740" s="38"/>
      <c r="G740" s="38"/>
      <c r="H740" s="42" t="s">
        <v>4702</v>
      </c>
      <c r="I740" s="188">
        <v>45809.0</v>
      </c>
      <c r="J740" s="188">
        <v>45839.0</v>
      </c>
      <c r="K740" s="189">
        <v>761.0</v>
      </c>
      <c r="L740" s="206"/>
      <c r="M740" s="191" t="s">
        <v>4545</v>
      </c>
      <c r="N740" s="48"/>
      <c r="O740" s="169"/>
      <c r="P740" s="169"/>
      <c r="Q740" s="169"/>
      <c r="R740" s="169"/>
      <c r="S740" s="169"/>
      <c r="T740" s="169"/>
      <c r="U740" s="169"/>
      <c r="V740" s="169"/>
      <c r="W740" s="169"/>
      <c r="X740" s="169"/>
      <c r="Y740" s="169"/>
      <c r="Z740" s="169"/>
      <c r="AA740" s="169"/>
      <c r="AB740" s="169"/>
      <c r="AC740" s="169"/>
      <c r="AD740" s="169"/>
      <c r="AE740" s="169"/>
      <c r="AF740" s="169"/>
      <c r="AG740" s="169"/>
      <c r="AH740" s="169"/>
    </row>
    <row r="741" ht="45.75" customHeight="1">
      <c r="A741" s="169"/>
      <c r="B741" s="38" t="s">
        <v>4703</v>
      </c>
      <c r="C741" s="191" t="s">
        <v>4704</v>
      </c>
      <c r="D741" s="39" t="s">
        <v>4705</v>
      </c>
      <c r="E741" s="38"/>
      <c r="F741" s="38"/>
      <c r="G741" s="38"/>
      <c r="H741" s="42" t="s">
        <v>4706</v>
      </c>
      <c r="I741" s="188">
        <v>45809.0</v>
      </c>
      <c r="J741" s="188">
        <v>45839.0</v>
      </c>
      <c r="K741" s="189">
        <v>1827.0</v>
      </c>
      <c r="L741" s="206"/>
      <c r="M741" s="191" t="s">
        <v>4545</v>
      </c>
      <c r="N741" s="48"/>
      <c r="O741" s="169"/>
      <c r="P741" s="169"/>
      <c r="Q741" s="169"/>
      <c r="R741" s="169"/>
      <c r="S741" s="169"/>
      <c r="T741" s="169"/>
      <c r="U741" s="169"/>
      <c r="V741" s="169"/>
      <c r="W741" s="169"/>
      <c r="X741" s="169"/>
      <c r="Y741" s="169"/>
      <c r="Z741" s="169"/>
      <c r="AA741" s="169"/>
      <c r="AB741" s="169"/>
      <c r="AC741" s="169"/>
      <c r="AD741" s="169"/>
      <c r="AE741" s="169"/>
      <c r="AF741" s="169"/>
      <c r="AG741" s="169"/>
      <c r="AH741" s="169"/>
    </row>
    <row r="742" ht="45.75" customHeight="1">
      <c r="A742" s="169"/>
      <c r="B742" s="38" t="s">
        <v>23</v>
      </c>
      <c r="C742" s="191" t="s">
        <v>4707</v>
      </c>
      <c r="D742" s="39" t="s">
        <v>1512</v>
      </c>
      <c r="E742" s="38"/>
      <c r="F742" s="38"/>
      <c r="G742" s="38"/>
      <c r="H742" s="48" t="s">
        <v>4708</v>
      </c>
      <c r="I742" s="188">
        <v>45809.0</v>
      </c>
      <c r="J742" s="188">
        <v>45839.0</v>
      </c>
      <c r="K742" s="189">
        <v>135.0</v>
      </c>
      <c r="L742" s="206"/>
      <c r="M742" s="191" t="s">
        <v>1520</v>
      </c>
      <c r="N742" s="42" t="s">
        <v>1522</v>
      </c>
      <c r="O742" s="169"/>
      <c r="P742" s="169"/>
      <c r="Q742" s="169"/>
      <c r="R742" s="169"/>
      <c r="S742" s="169"/>
      <c r="T742" s="169"/>
      <c r="U742" s="169"/>
      <c r="V742" s="169"/>
      <c r="W742" s="169"/>
      <c r="X742" s="169"/>
      <c r="Y742" s="169"/>
      <c r="Z742" s="169"/>
      <c r="AA742" s="169"/>
      <c r="AB742" s="169"/>
      <c r="AC742" s="169"/>
      <c r="AD742" s="169"/>
      <c r="AE742" s="169"/>
      <c r="AF742" s="169"/>
      <c r="AG742" s="169"/>
      <c r="AH742" s="169"/>
    </row>
    <row r="743" ht="45.75" customHeight="1">
      <c r="A743" s="169"/>
      <c r="B743" s="38" t="s">
        <v>23</v>
      </c>
      <c r="C743" s="191" t="s">
        <v>4709</v>
      </c>
      <c r="D743" s="39" t="s">
        <v>1512</v>
      </c>
      <c r="E743" s="38"/>
      <c r="F743" s="38"/>
      <c r="G743" s="38"/>
      <c r="H743" s="48" t="s">
        <v>4710</v>
      </c>
      <c r="I743" s="188">
        <v>45809.0</v>
      </c>
      <c r="J743" s="188">
        <v>45839.0</v>
      </c>
      <c r="K743" s="189">
        <v>99.0</v>
      </c>
      <c r="L743" s="206"/>
      <c r="M743" s="191" t="s">
        <v>1523</v>
      </c>
      <c r="N743" s="42" t="s">
        <v>1525</v>
      </c>
      <c r="O743" s="169"/>
      <c r="P743" s="169"/>
      <c r="Q743" s="169"/>
      <c r="R743" s="169"/>
      <c r="S743" s="169"/>
      <c r="T743" s="169"/>
      <c r="U743" s="169"/>
      <c r="V743" s="169"/>
      <c r="W743" s="169"/>
      <c r="X743" s="169"/>
      <c r="Y743" s="169"/>
      <c r="Z743" s="169"/>
      <c r="AA743" s="169"/>
      <c r="AB743" s="169"/>
      <c r="AC743" s="169"/>
      <c r="AD743" s="169"/>
      <c r="AE743" s="169"/>
      <c r="AF743" s="169"/>
      <c r="AG743" s="169"/>
      <c r="AH743" s="169"/>
    </row>
    <row r="744" ht="45.75" customHeight="1">
      <c r="A744" s="169"/>
      <c r="B744" s="38" t="s">
        <v>76</v>
      </c>
      <c r="C744" s="191" t="s">
        <v>4318</v>
      </c>
      <c r="D744" s="39" t="s">
        <v>4711</v>
      </c>
      <c r="E744" s="38"/>
      <c r="F744" s="38"/>
      <c r="G744" s="38"/>
      <c r="H744" s="42" t="s">
        <v>4319</v>
      </c>
      <c r="I744" s="188">
        <v>45809.0</v>
      </c>
      <c r="J744" s="188">
        <v>45839.0</v>
      </c>
      <c r="K744" s="189">
        <v>506.0</v>
      </c>
      <c r="L744" s="206"/>
      <c r="M744" s="191" t="s">
        <v>107</v>
      </c>
      <c r="N744" s="42" t="s">
        <v>109</v>
      </c>
      <c r="O744" s="169"/>
      <c r="P744" s="169"/>
      <c r="Q744" s="169"/>
      <c r="R744" s="169"/>
      <c r="S744" s="169"/>
      <c r="T744" s="169"/>
      <c r="U744" s="169"/>
      <c r="V744" s="169"/>
      <c r="W744" s="169"/>
      <c r="X744" s="169"/>
      <c r="Y744" s="169"/>
      <c r="Z744" s="169"/>
      <c r="AA744" s="169"/>
      <c r="AB744" s="169"/>
      <c r="AC744" s="169"/>
      <c r="AD744" s="169"/>
      <c r="AE744" s="169"/>
      <c r="AF744" s="169"/>
      <c r="AG744" s="169"/>
      <c r="AH744" s="169"/>
    </row>
    <row r="745" ht="45.75" customHeight="1">
      <c r="A745" s="169"/>
      <c r="B745" s="38" t="s">
        <v>1031</v>
      </c>
      <c r="C745" s="191" t="s">
        <v>4712</v>
      </c>
      <c r="D745" s="39" t="s">
        <v>4713</v>
      </c>
      <c r="E745" s="39" t="s">
        <v>121</v>
      </c>
      <c r="F745" s="39" t="s">
        <v>1051</v>
      </c>
      <c r="G745" s="39" t="s">
        <v>1035</v>
      </c>
      <c r="H745" s="39" t="s">
        <v>4714</v>
      </c>
      <c r="I745" s="188">
        <v>45809.0</v>
      </c>
      <c r="J745" s="188">
        <v>45839.0</v>
      </c>
      <c r="K745" s="189">
        <v>5510.0</v>
      </c>
      <c r="L745" s="206"/>
      <c r="M745" s="191" t="s">
        <v>4545</v>
      </c>
      <c r="N745" s="42"/>
      <c r="O745" s="169"/>
      <c r="P745" s="169"/>
      <c r="Q745" s="169"/>
      <c r="R745" s="169"/>
      <c r="S745" s="169"/>
      <c r="T745" s="169"/>
      <c r="U745" s="169"/>
      <c r="V745" s="169"/>
      <c r="W745" s="169"/>
      <c r="X745" s="169"/>
      <c r="Y745" s="169"/>
      <c r="Z745" s="169"/>
      <c r="AA745" s="169"/>
      <c r="AB745" s="169"/>
      <c r="AC745" s="169"/>
      <c r="AD745" s="169"/>
      <c r="AE745" s="169"/>
      <c r="AF745" s="169"/>
      <c r="AG745" s="169"/>
      <c r="AH745" s="169"/>
    </row>
    <row r="746" ht="45.75" customHeight="1">
      <c r="A746" s="169"/>
      <c r="B746" s="38" t="s">
        <v>1031</v>
      </c>
      <c r="C746" s="191" t="s">
        <v>4715</v>
      </c>
      <c r="D746" s="39" t="s">
        <v>4716</v>
      </c>
      <c r="E746" s="39" t="s">
        <v>121</v>
      </c>
      <c r="F746" s="39" t="s">
        <v>1047</v>
      </c>
      <c r="G746" s="39" t="s">
        <v>1035</v>
      </c>
      <c r="H746" s="39" t="s">
        <v>4717</v>
      </c>
      <c r="I746" s="188">
        <v>45809.0</v>
      </c>
      <c r="J746" s="188">
        <v>45839.0</v>
      </c>
      <c r="K746" s="189">
        <v>6980.0</v>
      </c>
      <c r="L746" s="206"/>
      <c r="M746" s="191" t="s">
        <v>4545</v>
      </c>
      <c r="N746" s="42"/>
      <c r="O746" s="169"/>
      <c r="P746" s="169"/>
      <c r="Q746" s="169"/>
      <c r="R746" s="169"/>
      <c r="S746" s="169"/>
      <c r="T746" s="169"/>
      <c r="U746" s="169"/>
      <c r="V746" s="169"/>
      <c r="W746" s="169"/>
      <c r="X746" s="169"/>
      <c r="Y746" s="169"/>
      <c r="Z746" s="169"/>
      <c r="AA746" s="169"/>
      <c r="AB746" s="169"/>
      <c r="AC746" s="169"/>
      <c r="AD746" s="169"/>
      <c r="AE746" s="169"/>
      <c r="AF746" s="169"/>
      <c r="AG746" s="169"/>
      <c r="AH746" s="169"/>
    </row>
    <row r="747" ht="45.75" customHeight="1">
      <c r="A747" s="169"/>
      <c r="B747" s="38" t="s">
        <v>26</v>
      </c>
      <c r="C747" s="191" t="s">
        <v>4718</v>
      </c>
      <c r="D747" s="39" t="s">
        <v>1373</v>
      </c>
      <c r="E747" s="39"/>
      <c r="F747" s="39" t="s">
        <v>623</v>
      </c>
      <c r="G747" s="39" t="s">
        <v>26</v>
      </c>
      <c r="H747" s="39" t="s">
        <v>4719</v>
      </c>
      <c r="I747" s="188">
        <v>45809.0</v>
      </c>
      <c r="J747" s="188">
        <v>45839.0</v>
      </c>
      <c r="K747" s="189">
        <v>60.0</v>
      </c>
      <c r="L747" s="206"/>
      <c r="M747" s="191" t="s">
        <v>4545</v>
      </c>
      <c r="N747" s="42"/>
      <c r="O747" s="169"/>
      <c r="P747" s="169"/>
      <c r="Q747" s="169"/>
      <c r="R747" s="169"/>
      <c r="S747" s="169"/>
      <c r="T747" s="169"/>
      <c r="U747" s="169"/>
      <c r="V747" s="169"/>
      <c r="W747" s="169"/>
      <c r="X747" s="169"/>
      <c r="Y747" s="169"/>
      <c r="Z747" s="169"/>
      <c r="AA747" s="169"/>
      <c r="AB747" s="169"/>
      <c r="AC747" s="169"/>
      <c r="AD747" s="169"/>
      <c r="AE747" s="169"/>
      <c r="AF747" s="169"/>
      <c r="AG747" s="169"/>
      <c r="AH747" s="169"/>
    </row>
    <row r="748" ht="45.75" customHeight="1">
      <c r="A748" s="169"/>
      <c r="B748" s="38" t="s">
        <v>26</v>
      </c>
      <c r="C748" s="191" t="s">
        <v>4720</v>
      </c>
      <c r="D748" s="39" t="s">
        <v>1369</v>
      </c>
      <c r="E748" s="39"/>
      <c r="F748" s="39" t="s">
        <v>623</v>
      </c>
      <c r="G748" s="39" t="s">
        <v>26</v>
      </c>
      <c r="H748" s="39" t="s">
        <v>4721</v>
      </c>
      <c r="I748" s="188">
        <v>45809.0</v>
      </c>
      <c r="J748" s="188">
        <v>45839.0</v>
      </c>
      <c r="K748" s="189">
        <v>60.0</v>
      </c>
      <c r="L748" s="206"/>
      <c r="M748" s="191" t="s">
        <v>4545</v>
      </c>
      <c r="N748" s="42"/>
      <c r="O748" s="169"/>
      <c r="P748" s="169"/>
      <c r="Q748" s="169"/>
      <c r="R748" s="169"/>
      <c r="S748" s="169"/>
      <c r="T748" s="169"/>
      <c r="U748" s="169"/>
      <c r="V748" s="169"/>
      <c r="W748" s="169"/>
      <c r="X748" s="169"/>
      <c r="Y748" s="169"/>
      <c r="Z748" s="169"/>
      <c r="AA748" s="169"/>
      <c r="AB748" s="169"/>
      <c r="AC748" s="169"/>
      <c r="AD748" s="169"/>
      <c r="AE748" s="169"/>
      <c r="AF748" s="169"/>
      <c r="AG748" s="169"/>
      <c r="AH748" s="169"/>
    </row>
    <row r="749" ht="45.75" customHeight="1">
      <c r="A749" s="169"/>
      <c r="B749" s="38" t="s">
        <v>26</v>
      </c>
      <c r="C749" s="191" t="s">
        <v>4722</v>
      </c>
      <c r="D749" s="39" t="s">
        <v>1369</v>
      </c>
      <c r="E749" s="39"/>
      <c r="F749" s="39" t="s">
        <v>414</v>
      </c>
      <c r="G749" s="39" t="s">
        <v>26</v>
      </c>
      <c r="H749" s="39" t="s">
        <v>4723</v>
      </c>
      <c r="I749" s="188">
        <v>45809.0</v>
      </c>
      <c r="J749" s="188">
        <v>45839.0</v>
      </c>
      <c r="K749" s="189">
        <v>116.0</v>
      </c>
      <c r="L749" s="206"/>
      <c r="M749" s="191" t="s">
        <v>4545</v>
      </c>
      <c r="N749" s="42"/>
      <c r="O749" s="169"/>
      <c r="P749" s="169"/>
      <c r="Q749" s="169"/>
      <c r="R749" s="169"/>
      <c r="S749" s="169"/>
      <c r="T749" s="169"/>
      <c r="U749" s="169"/>
      <c r="V749" s="169"/>
      <c r="W749" s="169"/>
      <c r="X749" s="169"/>
      <c r="Y749" s="169"/>
      <c r="Z749" s="169"/>
      <c r="AA749" s="169"/>
      <c r="AB749" s="169"/>
      <c r="AC749" s="169"/>
      <c r="AD749" s="169"/>
      <c r="AE749" s="169"/>
      <c r="AF749" s="169"/>
      <c r="AG749" s="169"/>
      <c r="AH749" s="169"/>
    </row>
    <row r="750" ht="45.75" customHeight="1">
      <c r="A750" s="169"/>
      <c r="B750" s="38" t="s">
        <v>118</v>
      </c>
      <c r="C750" s="191" t="s">
        <v>4724</v>
      </c>
      <c r="D750" s="39" t="s">
        <v>4725</v>
      </c>
      <c r="E750" s="39" t="s">
        <v>168</v>
      </c>
      <c r="F750" s="39" t="s">
        <v>623</v>
      </c>
      <c r="G750" s="39" t="s">
        <v>18</v>
      </c>
      <c r="H750" s="39" t="s">
        <v>4726</v>
      </c>
      <c r="I750" s="188">
        <v>45809.0</v>
      </c>
      <c r="J750" s="188">
        <v>45992.0</v>
      </c>
      <c r="K750" s="189">
        <v>1264.0</v>
      </c>
      <c r="L750" s="206"/>
      <c r="M750" s="191" t="s">
        <v>4545</v>
      </c>
      <c r="N750" s="42"/>
      <c r="O750" s="169"/>
      <c r="P750" s="169"/>
      <c r="Q750" s="169"/>
      <c r="R750" s="169"/>
      <c r="S750" s="169"/>
      <c r="T750" s="169"/>
      <c r="U750" s="169"/>
      <c r="V750" s="169"/>
      <c r="W750" s="169"/>
      <c r="X750" s="169"/>
      <c r="Y750" s="169"/>
      <c r="Z750" s="169"/>
      <c r="AA750" s="169"/>
      <c r="AB750" s="169"/>
      <c r="AC750" s="169"/>
      <c r="AD750" s="169"/>
      <c r="AE750" s="169"/>
      <c r="AF750" s="169"/>
      <c r="AG750" s="169"/>
      <c r="AH750" s="169"/>
    </row>
    <row r="751" ht="45.75" customHeight="1">
      <c r="A751" s="169"/>
      <c r="B751" s="38" t="s">
        <v>118</v>
      </c>
      <c r="C751" s="191" t="s">
        <v>397</v>
      </c>
      <c r="D751" s="39" t="s">
        <v>398</v>
      </c>
      <c r="E751" s="39" t="s">
        <v>168</v>
      </c>
      <c r="F751" s="39" t="s">
        <v>340</v>
      </c>
      <c r="G751" s="39" t="s">
        <v>213</v>
      </c>
      <c r="H751" s="39" t="s">
        <v>400</v>
      </c>
      <c r="I751" s="188">
        <v>45809.0</v>
      </c>
      <c r="J751" s="205">
        <f t="shared" ref="J751:J754" si="4">I751+65</f>
        <v>45874</v>
      </c>
      <c r="K751" s="189">
        <v>4580.0</v>
      </c>
      <c r="L751" s="206"/>
      <c r="M751" s="191" t="s">
        <v>363</v>
      </c>
      <c r="N751" s="42" t="s">
        <v>365</v>
      </c>
      <c r="O751" s="169"/>
      <c r="P751" s="169"/>
      <c r="Q751" s="169"/>
      <c r="R751" s="169"/>
      <c r="S751" s="169"/>
      <c r="T751" s="169"/>
      <c r="U751" s="169"/>
      <c r="V751" s="169"/>
      <c r="W751" s="169"/>
      <c r="X751" s="169"/>
      <c r="Y751" s="169"/>
      <c r="Z751" s="169"/>
      <c r="AA751" s="169"/>
      <c r="AB751" s="169"/>
      <c r="AC751" s="169"/>
      <c r="AD751" s="169"/>
      <c r="AE751" s="169"/>
      <c r="AF751" s="169"/>
      <c r="AG751" s="169"/>
      <c r="AH751" s="169"/>
    </row>
    <row r="752" ht="45.75" customHeight="1">
      <c r="A752" s="169"/>
      <c r="B752" s="38" t="s">
        <v>118</v>
      </c>
      <c r="C752" s="191" t="s">
        <v>323</v>
      </c>
      <c r="D752" s="39" t="s">
        <v>324</v>
      </c>
      <c r="E752" s="39" t="s">
        <v>168</v>
      </c>
      <c r="F752" s="39" t="s">
        <v>164</v>
      </c>
      <c r="G752" s="39" t="s">
        <v>213</v>
      </c>
      <c r="H752" s="39" t="s">
        <v>326</v>
      </c>
      <c r="I752" s="188">
        <v>45809.0</v>
      </c>
      <c r="J752" s="205">
        <f t="shared" si="4"/>
        <v>45874</v>
      </c>
      <c r="K752" s="189">
        <v>4430.0</v>
      </c>
      <c r="L752" s="206"/>
      <c r="M752" s="191" t="s">
        <v>224</v>
      </c>
      <c r="N752" s="42" t="s">
        <v>226</v>
      </c>
      <c r="O752" s="169"/>
      <c r="P752" s="169"/>
      <c r="Q752" s="169"/>
      <c r="R752" s="169"/>
      <c r="S752" s="169"/>
      <c r="T752" s="169"/>
      <c r="U752" s="169"/>
      <c r="V752" s="169"/>
      <c r="W752" s="169"/>
      <c r="X752" s="169"/>
      <c r="Y752" s="169"/>
      <c r="Z752" s="169"/>
      <c r="AA752" s="169"/>
      <c r="AB752" s="169"/>
      <c r="AC752" s="169"/>
      <c r="AD752" s="169"/>
      <c r="AE752" s="169"/>
      <c r="AF752" s="169"/>
      <c r="AG752" s="169"/>
      <c r="AH752" s="169"/>
    </row>
    <row r="753" ht="45.75" customHeight="1">
      <c r="A753" s="169"/>
      <c r="B753" s="38" t="s">
        <v>118</v>
      </c>
      <c r="C753" s="191" t="s">
        <v>319</v>
      </c>
      <c r="D753" s="39" t="s">
        <v>320</v>
      </c>
      <c r="E753" s="39" t="s">
        <v>168</v>
      </c>
      <c r="F753" s="39" t="s">
        <v>164</v>
      </c>
      <c r="G753" s="39" t="s">
        <v>213</v>
      </c>
      <c r="H753" s="39" t="s">
        <v>322</v>
      </c>
      <c r="I753" s="188">
        <v>45809.0</v>
      </c>
      <c r="J753" s="205">
        <f t="shared" si="4"/>
        <v>45874</v>
      </c>
      <c r="K753" s="189">
        <v>5010.0</v>
      </c>
      <c r="L753" s="206"/>
      <c r="M753" s="191" t="s">
        <v>215</v>
      </c>
      <c r="N753" s="42" t="s">
        <v>4727</v>
      </c>
      <c r="O753" s="169"/>
      <c r="P753" s="169"/>
      <c r="Q753" s="169"/>
      <c r="R753" s="169"/>
      <c r="S753" s="169"/>
      <c r="T753" s="169"/>
      <c r="U753" s="169"/>
      <c r="V753" s="169"/>
      <c r="W753" s="169"/>
      <c r="X753" s="169"/>
      <c r="Y753" s="169"/>
      <c r="Z753" s="169"/>
      <c r="AA753" s="169"/>
      <c r="AB753" s="169"/>
      <c r="AC753" s="169"/>
      <c r="AD753" s="169"/>
      <c r="AE753" s="169"/>
      <c r="AF753" s="169"/>
      <c r="AG753" s="169"/>
      <c r="AH753" s="169"/>
    </row>
    <row r="754" ht="45.75" customHeight="1">
      <c r="A754" s="169"/>
      <c r="B754" s="38" t="s">
        <v>118</v>
      </c>
      <c r="C754" s="191" t="s">
        <v>747</v>
      </c>
      <c r="D754" s="39" t="s">
        <v>748</v>
      </c>
      <c r="E754" s="39" t="s">
        <v>168</v>
      </c>
      <c r="F754" s="39" t="s">
        <v>623</v>
      </c>
      <c r="G754" s="39" t="s">
        <v>184</v>
      </c>
      <c r="H754" s="39" t="s">
        <v>750</v>
      </c>
      <c r="I754" s="188">
        <v>45809.0</v>
      </c>
      <c r="J754" s="205">
        <f t="shared" si="4"/>
        <v>45874</v>
      </c>
      <c r="K754" s="189">
        <v>1360.0</v>
      </c>
      <c r="L754" s="206"/>
      <c r="M754" s="191" t="s">
        <v>4545</v>
      </c>
      <c r="N754" s="42"/>
      <c r="O754" s="169"/>
      <c r="P754" s="169"/>
      <c r="Q754" s="169"/>
      <c r="R754" s="169"/>
      <c r="S754" s="169"/>
      <c r="T754" s="169"/>
      <c r="U754" s="169"/>
      <c r="V754" s="169"/>
      <c r="W754" s="169"/>
      <c r="X754" s="169"/>
      <c r="Y754" s="169"/>
      <c r="Z754" s="169"/>
      <c r="AA754" s="169"/>
      <c r="AB754" s="169"/>
      <c r="AC754" s="169"/>
      <c r="AD754" s="169"/>
      <c r="AE754" s="169"/>
      <c r="AF754" s="169"/>
      <c r="AG754" s="169"/>
      <c r="AH754" s="169"/>
    </row>
    <row r="755" ht="45.75" customHeight="1">
      <c r="A755" s="169"/>
      <c r="B755" s="38" t="s">
        <v>26</v>
      </c>
      <c r="C755" s="191" t="s">
        <v>4728</v>
      </c>
      <c r="D755" s="39" t="s">
        <v>1369</v>
      </c>
      <c r="E755" s="39"/>
      <c r="F755" s="39" t="s">
        <v>623</v>
      </c>
      <c r="G755" s="39" t="s">
        <v>26</v>
      </c>
      <c r="H755" s="39" t="s">
        <v>4729</v>
      </c>
      <c r="I755" s="188">
        <v>45839.0</v>
      </c>
      <c r="J755" s="188">
        <v>45904.0</v>
      </c>
      <c r="K755" s="189">
        <v>60.0</v>
      </c>
      <c r="L755" s="206"/>
      <c r="M755" s="191" t="s">
        <v>4545</v>
      </c>
      <c r="N755" s="42"/>
      <c r="O755" s="169"/>
      <c r="P755" s="169"/>
      <c r="Q755" s="169"/>
      <c r="R755" s="169"/>
      <c r="S755" s="169"/>
      <c r="T755" s="169"/>
      <c r="U755" s="169"/>
      <c r="V755" s="169"/>
      <c r="W755" s="169"/>
      <c r="X755" s="169"/>
      <c r="Y755" s="169"/>
      <c r="Z755" s="169"/>
      <c r="AA755" s="169"/>
      <c r="AB755" s="169"/>
      <c r="AC755" s="169"/>
      <c r="AD755" s="169"/>
      <c r="AE755" s="169"/>
      <c r="AF755" s="169"/>
      <c r="AG755" s="169"/>
      <c r="AH755" s="169"/>
    </row>
    <row r="756" ht="45.75" customHeight="1">
      <c r="A756" s="169"/>
      <c r="B756" s="38" t="s">
        <v>76</v>
      </c>
      <c r="C756" s="191" t="s">
        <v>4730</v>
      </c>
      <c r="D756" s="39" t="s">
        <v>4731</v>
      </c>
      <c r="E756" s="39"/>
      <c r="F756" s="39"/>
      <c r="G756" s="39"/>
      <c r="H756" s="39" t="s">
        <v>4732</v>
      </c>
      <c r="I756" s="188">
        <v>45870.0</v>
      </c>
      <c r="J756" s="188">
        <v>45870.0</v>
      </c>
      <c r="K756" s="189">
        <v>761.0</v>
      </c>
      <c r="L756" s="206"/>
      <c r="M756" s="191" t="s">
        <v>4733</v>
      </c>
      <c r="N756" s="39" t="s">
        <v>4734</v>
      </c>
      <c r="O756" s="169"/>
      <c r="P756" s="169"/>
      <c r="Q756" s="169"/>
      <c r="R756" s="169"/>
      <c r="S756" s="169"/>
      <c r="T756" s="169"/>
      <c r="U756" s="169"/>
      <c r="V756" s="169"/>
      <c r="W756" s="169"/>
      <c r="X756" s="169"/>
      <c r="Y756" s="169"/>
      <c r="Z756" s="169"/>
      <c r="AA756" s="169"/>
      <c r="AB756" s="169"/>
      <c r="AC756" s="169"/>
      <c r="AD756" s="169"/>
      <c r="AE756" s="169"/>
      <c r="AF756" s="169"/>
      <c r="AG756" s="169"/>
      <c r="AH756" s="169"/>
    </row>
    <row r="757" ht="45.75" customHeight="1">
      <c r="A757" s="169"/>
      <c r="B757" s="38" t="s">
        <v>76</v>
      </c>
      <c r="C757" s="191" t="s">
        <v>4735</v>
      </c>
      <c r="D757" s="39" t="s">
        <v>4736</v>
      </c>
      <c r="E757" s="39"/>
      <c r="F757" s="39"/>
      <c r="G757" s="39"/>
      <c r="H757" s="39" t="s">
        <v>4737</v>
      </c>
      <c r="I757" s="188">
        <v>45870.0</v>
      </c>
      <c r="J757" s="188">
        <v>45870.0</v>
      </c>
      <c r="K757" s="189">
        <v>892.0</v>
      </c>
      <c r="L757" s="206"/>
      <c r="M757" s="191" t="s">
        <v>4738</v>
      </c>
      <c r="N757" s="39" t="s">
        <v>4739</v>
      </c>
      <c r="O757" s="169"/>
      <c r="P757" s="169"/>
      <c r="Q757" s="169"/>
      <c r="R757" s="169"/>
      <c r="S757" s="169"/>
      <c r="T757" s="169"/>
      <c r="U757" s="169"/>
      <c r="V757" s="169"/>
      <c r="W757" s="169"/>
      <c r="X757" s="169"/>
      <c r="Y757" s="169"/>
      <c r="Z757" s="169"/>
      <c r="AA757" s="169"/>
      <c r="AB757" s="169"/>
      <c r="AC757" s="169"/>
      <c r="AD757" s="169"/>
      <c r="AE757" s="169"/>
      <c r="AF757" s="169"/>
      <c r="AG757" s="169"/>
      <c r="AH757" s="169"/>
    </row>
    <row r="758" ht="45.75" customHeight="1">
      <c r="A758" s="169"/>
      <c r="B758" s="38" t="s">
        <v>1186</v>
      </c>
      <c r="C758" s="191" t="s">
        <v>2972</v>
      </c>
      <c r="D758" s="39" t="s">
        <v>2970</v>
      </c>
      <c r="E758" s="39" t="s">
        <v>1189</v>
      </c>
      <c r="F758" s="39" t="s">
        <v>623</v>
      </c>
      <c r="G758" s="39" t="s">
        <v>213</v>
      </c>
      <c r="H758" s="39" t="s">
        <v>2973</v>
      </c>
      <c r="I758" s="188">
        <v>45870.0</v>
      </c>
      <c r="J758" s="188">
        <v>45935.0</v>
      </c>
      <c r="K758" s="189">
        <v>1270.0</v>
      </c>
      <c r="L758" s="206"/>
      <c r="M758" s="191" t="s">
        <v>4545</v>
      </c>
      <c r="N758" s="39"/>
      <c r="O758" s="169"/>
      <c r="P758" s="169"/>
      <c r="Q758" s="169"/>
      <c r="R758" s="169"/>
      <c r="S758" s="169"/>
      <c r="T758" s="169"/>
      <c r="U758" s="169"/>
      <c r="V758" s="169"/>
      <c r="W758" s="169"/>
      <c r="X758" s="169"/>
      <c r="Y758" s="169"/>
      <c r="Z758" s="169"/>
      <c r="AA758" s="169"/>
      <c r="AB758" s="169"/>
      <c r="AC758" s="169"/>
      <c r="AD758" s="169"/>
      <c r="AE758" s="169"/>
      <c r="AF758" s="169"/>
      <c r="AG758" s="169"/>
      <c r="AH758" s="169"/>
    </row>
    <row r="759" ht="45.75" customHeight="1">
      <c r="A759" s="169"/>
      <c r="B759" s="38" t="s">
        <v>1186</v>
      </c>
      <c r="C759" s="191" t="s">
        <v>4740</v>
      </c>
      <c r="D759" s="39" t="s">
        <v>2975</v>
      </c>
      <c r="E759" s="39" t="s">
        <v>1189</v>
      </c>
      <c r="F759" s="39" t="s">
        <v>623</v>
      </c>
      <c r="G759" s="39" t="s">
        <v>213</v>
      </c>
      <c r="H759" s="39" t="s">
        <v>4741</v>
      </c>
      <c r="I759" s="188">
        <v>45870.0</v>
      </c>
      <c r="J759" s="188">
        <v>45935.0</v>
      </c>
      <c r="K759" s="189">
        <v>1470.0</v>
      </c>
      <c r="L759" s="206"/>
      <c r="M759" s="191" t="s">
        <v>4545</v>
      </c>
      <c r="N759" s="39"/>
      <c r="O759" s="169"/>
      <c r="P759" s="169"/>
      <c r="Q759" s="169"/>
      <c r="R759" s="169"/>
      <c r="S759" s="169"/>
      <c r="T759" s="169"/>
      <c r="U759" s="169"/>
      <c r="V759" s="169"/>
      <c r="W759" s="169"/>
      <c r="X759" s="169"/>
      <c r="Y759" s="169"/>
      <c r="Z759" s="169"/>
      <c r="AA759" s="169"/>
      <c r="AB759" s="169"/>
      <c r="AC759" s="169"/>
      <c r="AD759" s="169"/>
      <c r="AE759" s="169"/>
      <c r="AF759" s="169"/>
      <c r="AG759" s="169"/>
      <c r="AH759" s="169"/>
    </row>
    <row r="760" ht="45.75" customHeight="1">
      <c r="A760" s="169"/>
      <c r="B760" s="38" t="s">
        <v>118</v>
      </c>
      <c r="C760" s="191" t="s">
        <v>3941</v>
      </c>
      <c r="D760" s="39" t="s">
        <v>3939</v>
      </c>
      <c r="E760" s="39" t="s">
        <v>168</v>
      </c>
      <c r="F760" s="39" t="s">
        <v>623</v>
      </c>
      <c r="G760" s="39" t="s">
        <v>213</v>
      </c>
      <c r="H760" s="39" t="s">
        <v>3942</v>
      </c>
      <c r="I760" s="188">
        <v>45870.0</v>
      </c>
      <c r="J760" s="188">
        <v>45901.0</v>
      </c>
      <c r="K760" s="189">
        <v>4336.0</v>
      </c>
      <c r="L760" s="206"/>
      <c r="M760" s="191" t="s">
        <v>4545</v>
      </c>
      <c r="N760" s="39"/>
      <c r="O760" s="169"/>
      <c r="P760" s="169"/>
      <c r="Q760" s="169"/>
      <c r="R760" s="169"/>
      <c r="S760" s="169"/>
      <c r="T760" s="169"/>
      <c r="U760" s="169"/>
      <c r="V760" s="169"/>
      <c r="W760" s="169"/>
      <c r="X760" s="169"/>
      <c r="Y760" s="169"/>
      <c r="Z760" s="169"/>
      <c r="AA760" s="169"/>
      <c r="AB760" s="169"/>
      <c r="AC760" s="169"/>
      <c r="AD760" s="169"/>
      <c r="AE760" s="169"/>
      <c r="AF760" s="169"/>
      <c r="AG760" s="169"/>
      <c r="AH760" s="169"/>
    </row>
    <row r="761" ht="45.75" customHeight="1">
      <c r="A761" s="169"/>
      <c r="B761" s="38" t="s">
        <v>2020</v>
      </c>
      <c r="C761" s="191" t="s">
        <v>3630</v>
      </c>
      <c r="D761" s="39" t="s">
        <v>4742</v>
      </c>
      <c r="E761" s="39"/>
      <c r="F761" s="39"/>
      <c r="G761" s="39" t="s">
        <v>2020</v>
      </c>
      <c r="H761" s="39" t="s">
        <v>3631</v>
      </c>
      <c r="I761" s="188">
        <v>45870.0</v>
      </c>
      <c r="J761" s="188">
        <v>45992.0</v>
      </c>
      <c r="K761" s="189">
        <v>2060.0</v>
      </c>
      <c r="L761" s="206"/>
      <c r="M761" s="191" t="s">
        <v>4743</v>
      </c>
      <c r="N761" s="39" t="s">
        <v>4744</v>
      </c>
      <c r="O761" s="169"/>
      <c r="P761" s="169"/>
      <c r="Q761" s="169"/>
      <c r="R761" s="169"/>
      <c r="S761" s="169"/>
      <c r="T761" s="169"/>
      <c r="U761" s="169"/>
      <c r="V761" s="169"/>
      <c r="W761" s="169"/>
      <c r="X761" s="169"/>
      <c r="Y761" s="169"/>
      <c r="Z761" s="169"/>
      <c r="AA761" s="169"/>
      <c r="AB761" s="169"/>
      <c r="AC761" s="169"/>
      <c r="AD761" s="169"/>
      <c r="AE761" s="169"/>
      <c r="AF761" s="169"/>
      <c r="AG761" s="169"/>
      <c r="AH761" s="169"/>
    </row>
    <row r="762" ht="45.75" customHeight="1">
      <c r="A762" s="169"/>
      <c r="B762" s="38" t="s">
        <v>118</v>
      </c>
      <c r="C762" s="191" t="s">
        <v>4745</v>
      </c>
      <c r="D762" s="39" t="s">
        <v>4746</v>
      </c>
      <c r="E762" s="39" t="s">
        <v>168</v>
      </c>
      <c r="F762" s="39" t="s">
        <v>623</v>
      </c>
      <c r="G762" s="39" t="s">
        <v>184</v>
      </c>
      <c r="H762" s="39" t="s">
        <v>4747</v>
      </c>
      <c r="I762" s="188">
        <v>45870.0</v>
      </c>
      <c r="J762" s="188">
        <v>45901.0</v>
      </c>
      <c r="K762" s="189">
        <v>1283.0</v>
      </c>
      <c r="L762" s="206"/>
      <c r="M762" s="191" t="s">
        <v>631</v>
      </c>
      <c r="N762" s="39" t="s">
        <v>633</v>
      </c>
      <c r="O762" s="169"/>
      <c r="P762" s="169"/>
      <c r="Q762" s="169"/>
      <c r="R762" s="169"/>
      <c r="S762" s="169"/>
      <c r="T762" s="169"/>
      <c r="U762" s="169"/>
      <c r="V762" s="169"/>
      <c r="W762" s="169"/>
      <c r="X762" s="169"/>
      <c r="Y762" s="169"/>
      <c r="Z762" s="169"/>
      <c r="AA762" s="169"/>
      <c r="AB762" s="169"/>
      <c r="AC762" s="169"/>
      <c r="AD762" s="169"/>
      <c r="AE762" s="169"/>
      <c r="AF762" s="169"/>
      <c r="AG762" s="169"/>
      <c r="AH762" s="169"/>
    </row>
    <row r="763" ht="45.75" customHeight="1">
      <c r="A763" s="169"/>
      <c r="B763" s="38" t="s">
        <v>118</v>
      </c>
      <c r="C763" s="191" t="s">
        <v>4748</v>
      </c>
      <c r="D763" s="39" t="s">
        <v>643</v>
      </c>
      <c r="E763" s="39" t="s">
        <v>121</v>
      </c>
      <c r="F763" s="39" t="s">
        <v>623</v>
      </c>
      <c r="G763" s="39" t="s">
        <v>131</v>
      </c>
      <c r="H763" s="39" t="s">
        <v>4749</v>
      </c>
      <c r="I763" s="188">
        <v>45870.0</v>
      </c>
      <c r="J763" s="188">
        <v>45901.0</v>
      </c>
      <c r="K763" s="189">
        <v>1120.0</v>
      </c>
      <c r="L763" s="206"/>
      <c r="M763" s="191" t="s">
        <v>4545</v>
      </c>
      <c r="N763" s="39"/>
      <c r="O763" s="169"/>
      <c r="P763" s="169"/>
      <c r="Q763" s="169"/>
      <c r="R763" s="169"/>
      <c r="S763" s="169"/>
      <c r="T763" s="169"/>
      <c r="U763" s="169"/>
      <c r="V763" s="169"/>
      <c r="W763" s="169"/>
      <c r="X763" s="169"/>
      <c r="Y763" s="169"/>
      <c r="Z763" s="169"/>
      <c r="AA763" s="169"/>
      <c r="AB763" s="169"/>
      <c r="AC763" s="169"/>
      <c r="AD763" s="169"/>
      <c r="AE763" s="169"/>
      <c r="AF763" s="169"/>
      <c r="AG763" s="169"/>
      <c r="AH763" s="169"/>
    </row>
    <row r="764" ht="45.75" customHeight="1">
      <c r="A764" s="169"/>
      <c r="B764" s="38" t="s">
        <v>118</v>
      </c>
      <c r="C764" s="191" t="s">
        <v>4750</v>
      </c>
      <c r="D764" s="39" t="s">
        <v>202</v>
      </c>
      <c r="E764" s="39" t="s">
        <v>121</v>
      </c>
      <c r="F764" s="39" t="s">
        <v>164</v>
      </c>
      <c r="G764" s="39" t="s">
        <v>131</v>
      </c>
      <c r="H764" s="39" t="s">
        <v>4751</v>
      </c>
      <c r="I764" s="188">
        <v>45870.0</v>
      </c>
      <c r="J764" s="188">
        <v>45901.0</v>
      </c>
      <c r="K764" s="189">
        <v>1500.0</v>
      </c>
      <c r="L764" s="206"/>
      <c r="M764" s="191" t="s">
        <v>227</v>
      </c>
      <c r="N764" s="39" t="s">
        <v>4752</v>
      </c>
      <c r="O764" s="169"/>
      <c r="P764" s="169"/>
      <c r="Q764" s="169"/>
      <c r="R764" s="169"/>
      <c r="S764" s="169"/>
      <c r="T764" s="169"/>
      <c r="U764" s="169"/>
      <c r="V764" s="169"/>
      <c r="W764" s="169"/>
      <c r="X764" s="169"/>
      <c r="Y764" s="169"/>
      <c r="Z764" s="169"/>
      <c r="AA764" s="169"/>
      <c r="AB764" s="169"/>
      <c r="AC764" s="169"/>
      <c r="AD764" s="169"/>
      <c r="AE764" s="169"/>
      <c r="AF764" s="169"/>
      <c r="AG764" s="169"/>
      <c r="AH764" s="169"/>
    </row>
    <row r="765" ht="45.75" customHeight="1">
      <c r="A765" s="169"/>
      <c r="B765" s="38" t="s">
        <v>118</v>
      </c>
      <c r="C765" s="191" t="s">
        <v>4753</v>
      </c>
      <c r="D765" s="39" t="s">
        <v>4754</v>
      </c>
      <c r="E765" s="39" t="s">
        <v>121</v>
      </c>
      <c r="F765" s="39" t="s">
        <v>164</v>
      </c>
      <c r="G765" s="39" t="s">
        <v>131</v>
      </c>
      <c r="H765" s="39" t="s">
        <v>4755</v>
      </c>
      <c r="I765" s="188">
        <v>45870.0</v>
      </c>
      <c r="J765" s="188">
        <v>45935.0</v>
      </c>
      <c r="K765" s="189">
        <v>2290.0</v>
      </c>
      <c r="L765" s="206"/>
      <c r="M765" s="191" t="s">
        <v>4756</v>
      </c>
      <c r="N765" s="39" t="s">
        <v>4757</v>
      </c>
      <c r="O765" s="169"/>
      <c r="P765" s="169"/>
      <c r="Q765" s="169"/>
      <c r="R765" s="169"/>
      <c r="S765" s="169"/>
      <c r="T765" s="169"/>
      <c r="U765" s="169"/>
      <c r="V765" s="169"/>
      <c r="W765" s="169"/>
      <c r="X765" s="169"/>
      <c r="Y765" s="169"/>
      <c r="Z765" s="169"/>
      <c r="AA765" s="169"/>
      <c r="AB765" s="169"/>
      <c r="AC765" s="169"/>
      <c r="AD765" s="169"/>
      <c r="AE765" s="169"/>
      <c r="AF765" s="169"/>
      <c r="AG765" s="169"/>
      <c r="AH765" s="169"/>
    </row>
    <row r="766" ht="45.75" customHeight="1">
      <c r="A766" s="169"/>
      <c r="B766" s="38" t="s">
        <v>118</v>
      </c>
      <c r="C766" s="191" t="s">
        <v>612</v>
      </c>
      <c r="D766" s="39" t="s">
        <v>613</v>
      </c>
      <c r="E766" s="39" t="s">
        <v>16</v>
      </c>
      <c r="F766" s="39" t="s">
        <v>17</v>
      </c>
      <c r="G766" s="39" t="s">
        <v>18</v>
      </c>
      <c r="H766" s="39" t="s">
        <v>4758</v>
      </c>
      <c r="I766" s="188">
        <v>45870.0</v>
      </c>
      <c r="J766" s="205">
        <f>I766+65</f>
        <v>45935</v>
      </c>
      <c r="K766" s="189">
        <v>4500.0</v>
      </c>
      <c r="L766" s="206"/>
      <c r="M766" s="191" t="s">
        <v>4759</v>
      </c>
      <c r="N766" s="39" t="s">
        <v>4760</v>
      </c>
      <c r="O766" s="169"/>
      <c r="P766" s="169"/>
      <c r="Q766" s="169"/>
      <c r="R766" s="169"/>
      <c r="S766" s="169"/>
      <c r="T766" s="169"/>
      <c r="U766" s="169"/>
      <c r="V766" s="169"/>
      <c r="W766" s="169"/>
      <c r="X766" s="169"/>
      <c r="Y766" s="169"/>
      <c r="Z766" s="169"/>
      <c r="AA766" s="169"/>
      <c r="AB766" s="169"/>
      <c r="AC766" s="169"/>
      <c r="AD766" s="169"/>
      <c r="AE766" s="169"/>
      <c r="AF766" s="169"/>
      <c r="AG766" s="169"/>
      <c r="AH766" s="169"/>
    </row>
    <row r="767" ht="45.75" customHeight="1">
      <c r="A767" s="169"/>
      <c r="B767" s="38" t="s">
        <v>1256</v>
      </c>
      <c r="C767" s="191" t="s">
        <v>4761</v>
      </c>
      <c r="D767" s="39" t="s">
        <v>4762</v>
      </c>
      <c r="E767" s="39"/>
      <c r="F767" s="39" t="s">
        <v>1051</v>
      </c>
      <c r="G767" s="39" t="s">
        <v>1259</v>
      </c>
      <c r="H767" s="39" t="s">
        <v>4763</v>
      </c>
      <c r="I767" s="188">
        <v>45901.0</v>
      </c>
      <c r="J767" s="188">
        <v>45901.0</v>
      </c>
      <c r="K767" s="189">
        <v>1336.0</v>
      </c>
      <c r="L767" s="206"/>
      <c r="M767" s="191" t="s">
        <v>4545</v>
      </c>
      <c r="N767" s="39"/>
      <c r="O767" s="169"/>
      <c r="P767" s="169"/>
      <c r="Q767" s="169"/>
      <c r="R767" s="169"/>
      <c r="S767" s="169"/>
      <c r="T767" s="169"/>
      <c r="U767" s="169"/>
      <c r="V767" s="169"/>
      <c r="W767" s="169"/>
      <c r="X767" s="169"/>
      <c r="Y767" s="169"/>
      <c r="Z767" s="169"/>
      <c r="AA767" s="169"/>
      <c r="AB767" s="169"/>
      <c r="AC767" s="169"/>
      <c r="AD767" s="169"/>
      <c r="AE767" s="169"/>
      <c r="AF767" s="169"/>
      <c r="AG767" s="169"/>
      <c r="AH767" s="169"/>
    </row>
    <row r="768" ht="45.75" customHeight="1">
      <c r="A768" s="169"/>
      <c r="B768" s="38" t="s">
        <v>1256</v>
      </c>
      <c r="C768" s="191" t="s">
        <v>4764</v>
      </c>
      <c r="D768" s="39" t="s">
        <v>4762</v>
      </c>
      <c r="E768" s="39"/>
      <c r="F768" s="39" t="s">
        <v>1051</v>
      </c>
      <c r="G768" s="39" t="s">
        <v>1259</v>
      </c>
      <c r="H768" s="39" t="s">
        <v>4765</v>
      </c>
      <c r="I768" s="188">
        <v>45901.0</v>
      </c>
      <c r="J768" s="188">
        <v>45901.0</v>
      </c>
      <c r="K768" s="189">
        <v>876.0</v>
      </c>
      <c r="L768" s="206"/>
      <c r="M768" s="191" t="s">
        <v>4545</v>
      </c>
      <c r="N768" s="39"/>
      <c r="O768" s="169"/>
      <c r="P768" s="169"/>
      <c r="Q768" s="169"/>
      <c r="R768" s="169"/>
      <c r="S768" s="169"/>
      <c r="T768" s="169"/>
      <c r="U768" s="169"/>
      <c r="V768" s="169"/>
      <c r="W768" s="169"/>
      <c r="X768" s="169"/>
      <c r="Y768" s="169"/>
      <c r="Z768" s="169"/>
      <c r="AA768" s="169"/>
      <c r="AB768" s="169"/>
      <c r="AC768" s="169"/>
      <c r="AD768" s="169"/>
      <c r="AE768" s="169"/>
      <c r="AF768" s="169"/>
      <c r="AG768" s="169"/>
      <c r="AH768" s="169"/>
    </row>
    <row r="769" ht="45.75" customHeight="1">
      <c r="A769" s="169"/>
      <c r="B769" s="38" t="s">
        <v>76</v>
      </c>
      <c r="C769" s="191" t="s">
        <v>4766</v>
      </c>
      <c r="D769" s="39" t="s">
        <v>4767</v>
      </c>
      <c r="E769" s="39"/>
      <c r="F769" s="39"/>
      <c r="G769" s="39"/>
      <c r="H769" s="39" t="s">
        <v>4768</v>
      </c>
      <c r="I769" s="188">
        <v>45901.0</v>
      </c>
      <c r="J769" s="188">
        <v>45901.0</v>
      </c>
      <c r="K769" s="189">
        <v>180.0</v>
      </c>
      <c r="L769" s="206"/>
      <c r="M769" s="191" t="s">
        <v>4545</v>
      </c>
      <c r="N769" s="39"/>
      <c r="O769" s="169"/>
      <c r="P769" s="169"/>
      <c r="Q769" s="169"/>
      <c r="R769" s="169"/>
      <c r="S769" s="169"/>
      <c r="T769" s="169"/>
      <c r="U769" s="169"/>
      <c r="V769" s="169"/>
      <c r="W769" s="169"/>
      <c r="X769" s="169"/>
      <c r="Y769" s="169"/>
      <c r="Z769" s="169"/>
      <c r="AA769" s="169"/>
      <c r="AB769" s="169"/>
      <c r="AC769" s="169"/>
      <c r="AD769" s="169"/>
      <c r="AE769" s="169"/>
      <c r="AF769" s="169"/>
      <c r="AG769" s="169"/>
      <c r="AH769" s="169"/>
    </row>
    <row r="770" ht="45.75" customHeight="1">
      <c r="A770" s="169"/>
      <c r="B770" s="38" t="s">
        <v>76</v>
      </c>
      <c r="C770" s="191" t="s">
        <v>4304</v>
      </c>
      <c r="D770" s="39" t="s">
        <v>4769</v>
      </c>
      <c r="E770" s="39"/>
      <c r="F770" s="39" t="s">
        <v>1051</v>
      </c>
      <c r="G770" s="39"/>
      <c r="H770" s="39" t="s">
        <v>4305</v>
      </c>
      <c r="I770" s="188">
        <v>45901.0</v>
      </c>
      <c r="J770" s="188">
        <v>45901.0</v>
      </c>
      <c r="K770" s="189">
        <v>140.0</v>
      </c>
      <c r="L770" s="206"/>
      <c r="M770" s="191" t="s">
        <v>98</v>
      </c>
      <c r="N770" s="39" t="s">
        <v>100</v>
      </c>
      <c r="O770" s="169"/>
      <c r="P770" s="169"/>
      <c r="Q770" s="169"/>
      <c r="R770" s="169"/>
      <c r="S770" s="169"/>
      <c r="T770" s="169"/>
      <c r="U770" s="169"/>
      <c r="V770" s="169"/>
      <c r="W770" s="169"/>
      <c r="X770" s="169"/>
      <c r="Y770" s="169"/>
      <c r="Z770" s="169"/>
      <c r="AA770" s="169"/>
      <c r="AB770" s="169"/>
      <c r="AC770" s="169"/>
      <c r="AD770" s="169"/>
      <c r="AE770" s="169"/>
      <c r="AF770" s="169"/>
      <c r="AG770" s="169"/>
      <c r="AH770" s="169"/>
    </row>
    <row r="771" ht="45.75" customHeight="1">
      <c r="A771" s="169"/>
      <c r="B771" s="38" t="s">
        <v>76</v>
      </c>
      <c r="C771" s="191" t="s">
        <v>4307</v>
      </c>
      <c r="D771" s="39" t="s">
        <v>4770</v>
      </c>
      <c r="E771" s="39"/>
      <c r="F771" s="39" t="s">
        <v>1051</v>
      </c>
      <c r="G771" s="39"/>
      <c r="H771" s="39" t="s">
        <v>4308</v>
      </c>
      <c r="I771" s="188">
        <v>45901.0</v>
      </c>
      <c r="J771" s="188">
        <v>45901.0</v>
      </c>
      <c r="K771" s="189">
        <v>175.0</v>
      </c>
      <c r="L771" s="206"/>
      <c r="M771" s="191" t="s">
        <v>4545</v>
      </c>
      <c r="N771" s="39"/>
      <c r="O771" s="169"/>
      <c r="P771" s="169"/>
      <c r="Q771" s="169"/>
      <c r="R771" s="169"/>
      <c r="S771" s="169"/>
      <c r="T771" s="169"/>
      <c r="U771" s="169"/>
      <c r="V771" s="169"/>
      <c r="W771" s="169"/>
      <c r="X771" s="169"/>
      <c r="Y771" s="169"/>
      <c r="Z771" s="169"/>
      <c r="AA771" s="169"/>
      <c r="AB771" s="169"/>
      <c r="AC771" s="169"/>
      <c r="AD771" s="169"/>
      <c r="AE771" s="169"/>
      <c r="AF771" s="169"/>
      <c r="AG771" s="169"/>
      <c r="AH771" s="169"/>
    </row>
    <row r="772" ht="45.75" customHeight="1">
      <c r="A772" s="169"/>
      <c r="B772" s="38" t="s">
        <v>76</v>
      </c>
      <c r="C772" s="191" t="s">
        <v>4313</v>
      </c>
      <c r="D772" s="39" t="s">
        <v>4771</v>
      </c>
      <c r="E772" s="39"/>
      <c r="F772" s="39"/>
      <c r="G772" s="39"/>
      <c r="H772" s="39" t="s">
        <v>4314</v>
      </c>
      <c r="I772" s="188">
        <v>45901.0</v>
      </c>
      <c r="J772" s="188">
        <v>45901.0</v>
      </c>
      <c r="K772" s="189">
        <v>435.0</v>
      </c>
      <c r="L772" s="206"/>
      <c r="M772" s="191" t="s">
        <v>4545</v>
      </c>
      <c r="N772" s="39"/>
      <c r="O772" s="169"/>
      <c r="P772" s="169"/>
      <c r="Q772" s="169"/>
      <c r="R772" s="169"/>
      <c r="S772" s="169"/>
      <c r="T772" s="169"/>
      <c r="U772" s="169"/>
      <c r="V772" s="169"/>
      <c r="W772" s="169"/>
      <c r="X772" s="169"/>
      <c r="Y772" s="169"/>
      <c r="Z772" s="169"/>
      <c r="AA772" s="169"/>
      <c r="AB772" s="169"/>
      <c r="AC772" s="169"/>
      <c r="AD772" s="169"/>
      <c r="AE772" s="169"/>
      <c r="AF772" s="169"/>
      <c r="AG772" s="169"/>
      <c r="AH772" s="169"/>
    </row>
    <row r="773" ht="45.75" customHeight="1">
      <c r="A773" s="169"/>
      <c r="B773" s="38" t="s">
        <v>118</v>
      </c>
      <c r="C773" s="191" t="s">
        <v>3380</v>
      </c>
      <c r="D773" s="39" t="s">
        <v>704</v>
      </c>
      <c r="E773" s="39" t="s">
        <v>174</v>
      </c>
      <c r="F773" s="39" t="s">
        <v>623</v>
      </c>
      <c r="G773" s="39" t="s">
        <v>131</v>
      </c>
      <c r="H773" s="39" t="s">
        <v>3381</v>
      </c>
      <c r="I773" s="188">
        <v>45901.0</v>
      </c>
      <c r="J773" s="188">
        <v>45935.0</v>
      </c>
      <c r="K773" s="189">
        <v>264.0</v>
      </c>
      <c r="L773" s="206"/>
      <c r="M773" s="191" t="s">
        <v>4545</v>
      </c>
      <c r="N773" s="39"/>
      <c r="O773" s="169"/>
      <c r="P773" s="169"/>
      <c r="Q773" s="169"/>
      <c r="R773" s="169"/>
      <c r="S773" s="169"/>
      <c r="T773" s="169"/>
      <c r="U773" s="169"/>
      <c r="V773" s="169"/>
      <c r="W773" s="169"/>
      <c r="X773" s="169"/>
      <c r="Y773" s="169"/>
      <c r="Z773" s="169"/>
      <c r="AA773" s="169"/>
      <c r="AB773" s="169"/>
      <c r="AC773" s="169"/>
      <c r="AD773" s="169"/>
      <c r="AE773" s="169"/>
      <c r="AF773" s="169"/>
      <c r="AG773" s="169"/>
      <c r="AH773" s="169"/>
    </row>
    <row r="774" ht="45.75" customHeight="1">
      <c r="A774" s="169"/>
      <c r="B774" s="38" t="s">
        <v>118</v>
      </c>
      <c r="C774" s="191" t="s">
        <v>3385</v>
      </c>
      <c r="D774" s="39" t="s">
        <v>4772</v>
      </c>
      <c r="E774" s="39" t="s">
        <v>174</v>
      </c>
      <c r="F774" s="39" t="s">
        <v>414</v>
      </c>
      <c r="G774" s="39" t="s">
        <v>131</v>
      </c>
      <c r="H774" s="39" t="s">
        <v>3386</v>
      </c>
      <c r="I774" s="188">
        <v>45901.0</v>
      </c>
      <c r="J774" s="188">
        <v>45996.0</v>
      </c>
      <c r="K774" s="189">
        <v>365.0</v>
      </c>
      <c r="L774" s="206"/>
      <c r="M774" s="191" t="s">
        <v>4545</v>
      </c>
      <c r="N774" s="39"/>
      <c r="O774" s="169"/>
      <c r="P774" s="169"/>
      <c r="Q774" s="169"/>
      <c r="R774" s="169"/>
      <c r="S774" s="169"/>
      <c r="T774" s="169"/>
      <c r="U774" s="169"/>
      <c r="V774" s="169"/>
      <c r="W774" s="169"/>
      <c r="X774" s="169"/>
      <c r="Y774" s="169"/>
      <c r="Z774" s="169"/>
      <c r="AA774" s="169"/>
      <c r="AB774" s="169"/>
      <c r="AC774" s="169"/>
      <c r="AD774" s="169"/>
      <c r="AE774" s="169"/>
      <c r="AF774" s="169"/>
      <c r="AG774" s="169"/>
      <c r="AH774" s="169"/>
    </row>
    <row r="775" ht="45.75" customHeight="1">
      <c r="A775" s="169"/>
      <c r="B775" s="38" t="s">
        <v>118</v>
      </c>
      <c r="C775" s="191" t="s">
        <v>4773</v>
      </c>
      <c r="D775" s="39" t="s">
        <v>4774</v>
      </c>
      <c r="E775" s="39" t="s">
        <v>168</v>
      </c>
      <c r="F775" s="39" t="s">
        <v>623</v>
      </c>
      <c r="G775" s="39" t="s">
        <v>131</v>
      </c>
      <c r="H775" s="39" t="s">
        <v>4775</v>
      </c>
      <c r="I775" s="188">
        <v>45901.0</v>
      </c>
      <c r="J775" s="188">
        <v>45966.0</v>
      </c>
      <c r="K775" s="189">
        <v>978.0</v>
      </c>
      <c r="L775" s="206"/>
      <c r="M775" s="191" t="s">
        <v>4776</v>
      </c>
      <c r="N775" s="39" t="s">
        <v>4777</v>
      </c>
      <c r="O775" s="169"/>
      <c r="P775" s="169"/>
      <c r="Q775" s="169"/>
      <c r="R775" s="169"/>
      <c r="S775" s="169"/>
      <c r="T775" s="169"/>
      <c r="U775" s="169"/>
      <c r="V775" s="169"/>
      <c r="W775" s="169"/>
      <c r="X775" s="169"/>
      <c r="Y775" s="169"/>
      <c r="Z775" s="169"/>
      <c r="AA775" s="169"/>
      <c r="AB775" s="169"/>
      <c r="AC775" s="169"/>
      <c r="AD775" s="169"/>
      <c r="AE775" s="169"/>
      <c r="AF775" s="169"/>
      <c r="AG775" s="169"/>
      <c r="AH775" s="169"/>
    </row>
    <row r="776" ht="45.75" customHeight="1">
      <c r="A776" s="169"/>
      <c r="B776" s="38" t="s">
        <v>118</v>
      </c>
      <c r="C776" s="191" t="s">
        <v>4778</v>
      </c>
      <c r="D776" s="39" t="s">
        <v>4772</v>
      </c>
      <c r="E776" s="39" t="s">
        <v>168</v>
      </c>
      <c r="F776" s="39" t="s">
        <v>414</v>
      </c>
      <c r="G776" s="39" t="s">
        <v>131</v>
      </c>
      <c r="H776" s="39" t="s">
        <v>4779</v>
      </c>
      <c r="I776" s="188">
        <v>45901.0</v>
      </c>
      <c r="J776" s="188">
        <v>45935.0</v>
      </c>
      <c r="K776" s="189">
        <v>778.0</v>
      </c>
      <c r="L776" s="206"/>
      <c r="M776" s="191" t="s">
        <v>4780</v>
      </c>
      <c r="N776" s="39" t="s">
        <v>4781</v>
      </c>
      <c r="O776" s="169"/>
      <c r="P776" s="169"/>
      <c r="Q776" s="169"/>
      <c r="R776" s="169"/>
      <c r="S776" s="169"/>
      <c r="T776" s="169"/>
      <c r="U776" s="169"/>
      <c r="V776" s="169"/>
      <c r="W776" s="169"/>
      <c r="X776" s="169"/>
      <c r="Y776" s="169"/>
      <c r="Z776" s="169"/>
      <c r="AA776" s="169"/>
      <c r="AB776" s="169"/>
      <c r="AC776" s="169"/>
      <c r="AD776" s="169"/>
      <c r="AE776" s="169"/>
      <c r="AF776" s="169"/>
      <c r="AG776" s="169"/>
      <c r="AH776" s="169"/>
    </row>
    <row r="777" ht="45.75" customHeight="1">
      <c r="A777" s="169"/>
      <c r="B777" s="38" t="s">
        <v>118</v>
      </c>
      <c r="C777" s="191" t="s">
        <v>4782</v>
      </c>
      <c r="D777" s="39" t="s">
        <v>4783</v>
      </c>
      <c r="E777" s="39" t="s">
        <v>168</v>
      </c>
      <c r="F777" s="39" t="s">
        <v>340</v>
      </c>
      <c r="G777" s="39" t="s">
        <v>131</v>
      </c>
      <c r="H777" s="39" t="s">
        <v>4784</v>
      </c>
      <c r="I777" s="188">
        <v>45901.0</v>
      </c>
      <c r="J777" s="188">
        <v>45996.0</v>
      </c>
      <c r="K777" s="189">
        <v>950.0</v>
      </c>
      <c r="L777" s="206"/>
      <c r="M777" s="191" t="s">
        <v>4780</v>
      </c>
      <c r="N777" s="39" t="s">
        <v>4781</v>
      </c>
      <c r="O777" s="169"/>
      <c r="P777" s="169"/>
      <c r="Q777" s="169"/>
      <c r="R777" s="169"/>
      <c r="S777" s="169"/>
      <c r="T777" s="169"/>
      <c r="U777" s="169"/>
      <c r="V777" s="169"/>
      <c r="W777" s="169"/>
      <c r="X777" s="169"/>
      <c r="Y777" s="169"/>
      <c r="Z777" s="169"/>
      <c r="AA777" s="169"/>
      <c r="AB777" s="169"/>
      <c r="AC777" s="169"/>
      <c r="AD777" s="169"/>
      <c r="AE777" s="169"/>
      <c r="AF777" s="169"/>
      <c r="AG777" s="169"/>
      <c r="AH777" s="169"/>
    </row>
    <row r="778" ht="45.75" customHeight="1">
      <c r="A778" s="169"/>
      <c r="B778" s="38" t="s">
        <v>118</v>
      </c>
      <c r="C778" s="191" t="s">
        <v>4785</v>
      </c>
      <c r="D778" s="39" t="s">
        <v>4786</v>
      </c>
      <c r="E778" s="39" t="s">
        <v>168</v>
      </c>
      <c r="F778" s="39" t="s">
        <v>340</v>
      </c>
      <c r="G778" s="39" t="s">
        <v>131</v>
      </c>
      <c r="H778" s="39" t="s">
        <v>4787</v>
      </c>
      <c r="I778" s="188">
        <v>45901.0</v>
      </c>
      <c r="J778" s="188">
        <v>45935.0</v>
      </c>
      <c r="K778" s="189">
        <v>1050.0</v>
      </c>
      <c r="L778" s="206"/>
      <c r="M778" s="191" t="s">
        <v>4780</v>
      </c>
      <c r="N778" s="39" t="s">
        <v>4781</v>
      </c>
      <c r="O778" s="169"/>
      <c r="P778" s="169"/>
      <c r="Q778" s="169"/>
      <c r="R778" s="169"/>
      <c r="S778" s="169"/>
      <c r="T778" s="169"/>
      <c r="U778" s="169"/>
      <c r="V778" s="169"/>
      <c r="W778" s="169"/>
      <c r="X778" s="169"/>
      <c r="Y778" s="169"/>
      <c r="Z778" s="169"/>
      <c r="AA778" s="169"/>
      <c r="AB778" s="169"/>
      <c r="AC778" s="169"/>
      <c r="AD778" s="169"/>
      <c r="AE778" s="169"/>
      <c r="AF778" s="169"/>
      <c r="AG778" s="169"/>
      <c r="AH778" s="169"/>
    </row>
    <row r="779" ht="45.75" customHeight="1">
      <c r="A779" s="169"/>
      <c r="B779" s="38" t="s">
        <v>118</v>
      </c>
      <c r="C779" s="191" t="s">
        <v>315</v>
      </c>
      <c r="D779" s="39" t="s">
        <v>316</v>
      </c>
      <c r="E779" s="39" t="s">
        <v>168</v>
      </c>
      <c r="F779" s="39" t="s">
        <v>164</v>
      </c>
      <c r="G779" s="39" t="s">
        <v>131</v>
      </c>
      <c r="H779" s="39" t="s">
        <v>318</v>
      </c>
      <c r="I779" s="188">
        <v>45901.0</v>
      </c>
      <c r="J779" s="205">
        <f t="shared" ref="J779:J782" si="5">I779+65</f>
        <v>45966</v>
      </c>
      <c r="K779" s="189">
        <v>1000.0</v>
      </c>
      <c r="L779" s="206"/>
      <c r="M779" s="191" t="s">
        <v>4788</v>
      </c>
      <c r="N779" s="39" t="s">
        <v>4789</v>
      </c>
      <c r="O779" s="169"/>
      <c r="P779" s="169"/>
      <c r="Q779" s="169"/>
      <c r="R779" s="169"/>
      <c r="S779" s="169"/>
      <c r="T779" s="169"/>
      <c r="U779" s="169"/>
      <c r="V779" s="169"/>
      <c r="W779" s="169"/>
      <c r="X779" s="169"/>
      <c r="Y779" s="169"/>
      <c r="Z779" s="169"/>
      <c r="AA779" s="169"/>
      <c r="AB779" s="169"/>
      <c r="AC779" s="169"/>
      <c r="AD779" s="169"/>
      <c r="AE779" s="169"/>
      <c r="AF779" s="169"/>
      <c r="AG779" s="169"/>
      <c r="AH779" s="169"/>
    </row>
    <row r="780" ht="45.75" customHeight="1">
      <c r="A780" s="169"/>
      <c r="B780" s="38" t="s">
        <v>118</v>
      </c>
      <c r="C780" s="191" t="s">
        <v>201</v>
      </c>
      <c r="D780" s="39" t="s">
        <v>202</v>
      </c>
      <c r="E780" s="39" t="s">
        <v>168</v>
      </c>
      <c r="F780" s="39" t="s">
        <v>164</v>
      </c>
      <c r="G780" s="39" t="s">
        <v>131</v>
      </c>
      <c r="H780" s="39" t="s">
        <v>204</v>
      </c>
      <c r="I780" s="188">
        <v>45901.0</v>
      </c>
      <c r="J780" s="205">
        <f t="shared" si="5"/>
        <v>45966</v>
      </c>
      <c r="K780" s="189">
        <v>1150.0</v>
      </c>
      <c r="L780" s="206"/>
      <c r="M780" s="191" t="s">
        <v>4788</v>
      </c>
      <c r="N780" s="39" t="s">
        <v>4789</v>
      </c>
      <c r="O780" s="169"/>
      <c r="P780" s="169"/>
      <c r="Q780" s="169"/>
      <c r="R780" s="169"/>
      <c r="S780" s="169"/>
      <c r="T780" s="169"/>
      <c r="U780" s="169"/>
      <c r="V780" s="169"/>
      <c r="W780" s="169"/>
      <c r="X780" s="169"/>
      <c r="Y780" s="169"/>
      <c r="Z780" s="169"/>
      <c r="AA780" s="169"/>
      <c r="AB780" s="169"/>
      <c r="AC780" s="169"/>
      <c r="AD780" s="169"/>
      <c r="AE780" s="169"/>
      <c r="AF780" s="169"/>
      <c r="AG780" s="169"/>
      <c r="AH780" s="169"/>
    </row>
    <row r="781" ht="45.75" customHeight="1">
      <c r="A781" s="169"/>
      <c r="B781" s="38" t="s">
        <v>1031</v>
      </c>
      <c r="C781" s="191" t="s">
        <v>4790</v>
      </c>
      <c r="D781" s="39" t="s">
        <v>4791</v>
      </c>
      <c r="E781" s="39" t="s">
        <v>121</v>
      </c>
      <c r="F781" s="39" t="s">
        <v>1047</v>
      </c>
      <c r="G781" s="39" t="s">
        <v>1035</v>
      </c>
      <c r="H781" s="39" t="s">
        <v>4792</v>
      </c>
      <c r="I781" s="188">
        <v>45901.0</v>
      </c>
      <c r="J781" s="205">
        <f t="shared" si="5"/>
        <v>45966</v>
      </c>
      <c r="K781" s="189">
        <v>9160.0</v>
      </c>
      <c r="L781" s="206"/>
      <c r="M781" s="191" t="s">
        <v>4545</v>
      </c>
      <c r="N781" s="39"/>
      <c r="O781" s="169"/>
      <c r="P781" s="169"/>
      <c r="Q781" s="169"/>
      <c r="R781" s="169"/>
      <c r="S781" s="169"/>
      <c r="T781" s="169"/>
      <c r="U781" s="169"/>
      <c r="V781" s="169"/>
      <c r="W781" s="169"/>
      <c r="X781" s="169"/>
      <c r="Y781" s="169"/>
      <c r="Z781" s="169"/>
      <c r="AA781" s="169"/>
      <c r="AB781" s="169"/>
      <c r="AC781" s="169"/>
      <c r="AD781" s="169"/>
      <c r="AE781" s="169"/>
      <c r="AF781" s="169"/>
      <c r="AG781" s="169"/>
      <c r="AH781" s="169"/>
    </row>
    <row r="782" ht="45.75" customHeight="1">
      <c r="A782" s="169"/>
      <c r="B782" s="38" t="s">
        <v>26</v>
      </c>
      <c r="C782" s="191" t="s">
        <v>1368</v>
      </c>
      <c r="D782" s="39" t="s">
        <v>1369</v>
      </c>
      <c r="E782" s="39"/>
      <c r="F782" s="39" t="s">
        <v>623</v>
      </c>
      <c r="G782" s="39" t="s">
        <v>26</v>
      </c>
      <c r="H782" s="39" t="s">
        <v>1371</v>
      </c>
      <c r="I782" s="188">
        <v>45901.0</v>
      </c>
      <c r="J782" s="205">
        <f t="shared" si="5"/>
        <v>45966</v>
      </c>
      <c r="K782" s="189">
        <v>60.0</v>
      </c>
      <c r="L782" s="206"/>
      <c r="M782" s="191" t="s">
        <v>4545</v>
      </c>
      <c r="N782" s="39"/>
      <c r="O782" s="169"/>
      <c r="P782" s="169"/>
      <c r="Q782" s="169"/>
      <c r="R782" s="169"/>
      <c r="S782" s="169"/>
      <c r="T782" s="169"/>
      <c r="U782" s="169"/>
      <c r="V782" s="169"/>
      <c r="W782" s="169"/>
      <c r="X782" s="169"/>
      <c r="Y782" s="169"/>
      <c r="Z782" s="169"/>
      <c r="AA782" s="169"/>
      <c r="AB782" s="169"/>
      <c r="AC782" s="169"/>
      <c r="AD782" s="169"/>
      <c r="AE782" s="169"/>
      <c r="AF782" s="169"/>
      <c r="AG782" s="169"/>
      <c r="AH782" s="169"/>
    </row>
    <row r="783" ht="45.75" customHeight="1">
      <c r="A783" s="169"/>
      <c r="B783" s="38" t="s">
        <v>26</v>
      </c>
      <c r="C783" s="191" t="s">
        <v>4793</v>
      </c>
      <c r="D783" s="39" t="s">
        <v>1369</v>
      </c>
      <c r="E783" s="39"/>
      <c r="F783" s="39" t="s">
        <v>414</v>
      </c>
      <c r="G783" s="39" t="s">
        <v>26</v>
      </c>
      <c r="H783" s="39" t="s">
        <v>4794</v>
      </c>
      <c r="I783" s="188">
        <v>45901.0</v>
      </c>
      <c r="J783" s="188">
        <v>45962.0</v>
      </c>
      <c r="K783" s="189">
        <v>116.0</v>
      </c>
      <c r="L783" s="206"/>
      <c r="M783" s="191" t="s">
        <v>4545</v>
      </c>
      <c r="N783" s="39"/>
      <c r="O783" s="169"/>
      <c r="P783" s="169"/>
      <c r="Q783" s="169"/>
      <c r="R783" s="169"/>
      <c r="S783" s="169"/>
      <c r="T783" s="169"/>
      <c r="U783" s="169"/>
      <c r="V783" s="169"/>
      <c r="W783" s="169"/>
      <c r="X783" s="169"/>
      <c r="Y783" s="169"/>
      <c r="Z783" s="169"/>
      <c r="AA783" s="169"/>
      <c r="AB783" s="169"/>
      <c r="AC783" s="169"/>
      <c r="AD783" s="169"/>
      <c r="AE783" s="169"/>
      <c r="AF783" s="169"/>
      <c r="AG783" s="169"/>
      <c r="AH783" s="169"/>
    </row>
    <row r="784" ht="45.75" customHeight="1">
      <c r="A784" s="169"/>
      <c r="B784" s="38" t="s">
        <v>76</v>
      </c>
      <c r="C784" s="191" t="s">
        <v>4733</v>
      </c>
      <c r="D784" s="39" t="s">
        <v>4795</v>
      </c>
      <c r="E784" s="39"/>
      <c r="F784" s="39"/>
      <c r="G784" s="39"/>
      <c r="H784" s="39" t="s">
        <v>4796</v>
      </c>
      <c r="I784" s="188">
        <v>45931.0</v>
      </c>
      <c r="J784" s="188">
        <v>45931.0</v>
      </c>
      <c r="K784" s="189">
        <v>761.0</v>
      </c>
      <c r="L784" s="206"/>
      <c r="M784" s="191" t="s">
        <v>4545</v>
      </c>
      <c r="N784" s="39"/>
      <c r="O784" s="169"/>
      <c r="P784" s="169"/>
      <c r="Q784" s="169"/>
      <c r="R784" s="169"/>
      <c r="S784" s="169"/>
      <c r="T784" s="169"/>
      <c r="U784" s="169"/>
      <c r="V784" s="169"/>
      <c r="W784" s="169"/>
      <c r="X784" s="169"/>
      <c r="Y784" s="169"/>
      <c r="Z784" s="169"/>
      <c r="AA784" s="169"/>
      <c r="AB784" s="169"/>
      <c r="AC784" s="169"/>
      <c r="AD784" s="169"/>
      <c r="AE784" s="169"/>
      <c r="AF784" s="169"/>
      <c r="AG784" s="169"/>
      <c r="AH784" s="169"/>
    </row>
    <row r="785" ht="45.75" customHeight="1">
      <c r="A785" s="169"/>
      <c r="B785" s="38" t="s">
        <v>76</v>
      </c>
      <c r="C785" s="191" t="s">
        <v>4738</v>
      </c>
      <c r="D785" s="39" t="s">
        <v>4797</v>
      </c>
      <c r="E785" s="39"/>
      <c r="F785" s="39"/>
      <c r="G785" s="39"/>
      <c r="H785" s="39" t="s">
        <v>4798</v>
      </c>
      <c r="I785" s="188">
        <v>45931.0</v>
      </c>
      <c r="J785" s="188">
        <v>45931.0</v>
      </c>
      <c r="K785" s="189">
        <v>892.0</v>
      </c>
      <c r="L785" s="206"/>
      <c r="M785" s="191" t="s">
        <v>4545</v>
      </c>
      <c r="N785" s="39"/>
      <c r="O785" s="169"/>
      <c r="P785" s="169"/>
      <c r="Q785" s="169"/>
      <c r="R785" s="169"/>
      <c r="S785" s="169"/>
      <c r="T785" s="169"/>
      <c r="U785" s="169"/>
      <c r="V785" s="169"/>
      <c r="W785" s="169"/>
      <c r="X785" s="169"/>
      <c r="Y785" s="169"/>
      <c r="Z785" s="169"/>
      <c r="AA785" s="169"/>
      <c r="AB785" s="169"/>
      <c r="AC785" s="169"/>
      <c r="AD785" s="169"/>
      <c r="AE785" s="169"/>
      <c r="AF785" s="169"/>
      <c r="AG785" s="169"/>
      <c r="AH785" s="169"/>
    </row>
    <row r="786" ht="45.75" customHeight="1">
      <c r="A786" s="169"/>
      <c r="B786" s="38" t="s">
        <v>76</v>
      </c>
      <c r="C786" s="191" t="s">
        <v>4525</v>
      </c>
      <c r="D786" s="39" t="s">
        <v>4799</v>
      </c>
      <c r="E786" s="39"/>
      <c r="F786" s="39"/>
      <c r="G786" s="39"/>
      <c r="H786" s="39" t="s">
        <v>4526</v>
      </c>
      <c r="I786" s="188">
        <v>45931.0</v>
      </c>
      <c r="J786" s="188">
        <v>45931.0</v>
      </c>
      <c r="K786" s="189">
        <v>868.0</v>
      </c>
      <c r="L786" s="206"/>
      <c r="M786" s="191" t="s">
        <v>4545</v>
      </c>
      <c r="N786" s="39"/>
      <c r="O786" s="169"/>
      <c r="P786" s="169"/>
      <c r="Q786" s="169"/>
      <c r="R786" s="169"/>
      <c r="S786" s="169"/>
      <c r="T786" s="169"/>
      <c r="U786" s="169"/>
      <c r="V786" s="169"/>
      <c r="W786" s="169"/>
      <c r="X786" s="169"/>
      <c r="Y786" s="169"/>
      <c r="Z786" s="169"/>
      <c r="AA786" s="169"/>
      <c r="AB786" s="169"/>
      <c r="AC786" s="169"/>
      <c r="AD786" s="169"/>
      <c r="AE786" s="169"/>
      <c r="AF786" s="169"/>
      <c r="AG786" s="169"/>
      <c r="AH786" s="169"/>
    </row>
    <row r="787" ht="45.75" customHeight="1">
      <c r="A787" s="169"/>
      <c r="B787" s="38" t="s">
        <v>76</v>
      </c>
      <c r="C787" s="191" t="s">
        <v>4528</v>
      </c>
      <c r="D787" s="39" t="s">
        <v>4800</v>
      </c>
      <c r="E787" s="39"/>
      <c r="F787" s="39"/>
      <c r="G787" s="39"/>
      <c r="H787" s="39" t="s">
        <v>4529</v>
      </c>
      <c r="I787" s="188">
        <v>45931.0</v>
      </c>
      <c r="J787" s="188">
        <v>45931.0</v>
      </c>
      <c r="K787" s="189">
        <v>948.0</v>
      </c>
      <c r="L787" s="206"/>
      <c r="M787" s="191" t="s">
        <v>4545</v>
      </c>
      <c r="N787" s="39"/>
      <c r="O787" s="169"/>
      <c r="P787" s="169"/>
      <c r="Q787" s="169"/>
      <c r="R787" s="169"/>
      <c r="S787" s="169"/>
      <c r="T787" s="169"/>
      <c r="U787" s="169"/>
      <c r="V787" s="169"/>
      <c r="W787" s="169"/>
      <c r="X787" s="169"/>
      <c r="Y787" s="169"/>
      <c r="Z787" s="169"/>
      <c r="AA787" s="169"/>
      <c r="AB787" s="169"/>
      <c r="AC787" s="169"/>
      <c r="AD787" s="169"/>
      <c r="AE787" s="169"/>
      <c r="AF787" s="169"/>
      <c r="AG787" s="169"/>
      <c r="AH787" s="169"/>
    </row>
    <row r="788" ht="45.75" customHeight="1">
      <c r="A788" s="169"/>
      <c r="B788" s="38" t="s">
        <v>76</v>
      </c>
      <c r="C788" s="191" t="s">
        <v>4531</v>
      </c>
      <c r="D788" s="39" t="s">
        <v>4801</v>
      </c>
      <c r="E788" s="39"/>
      <c r="F788" s="39"/>
      <c r="G788" s="39"/>
      <c r="H788" s="39" t="s">
        <v>4532</v>
      </c>
      <c r="I788" s="188">
        <v>45931.0</v>
      </c>
      <c r="J788" s="188">
        <v>45931.0</v>
      </c>
      <c r="K788" s="189">
        <v>954.0</v>
      </c>
      <c r="L788" s="206"/>
      <c r="M788" s="191" t="s">
        <v>4545</v>
      </c>
      <c r="N788" s="39"/>
      <c r="O788" s="169"/>
      <c r="P788" s="169"/>
      <c r="Q788" s="169"/>
      <c r="R788" s="169"/>
      <c r="S788" s="169"/>
      <c r="T788" s="169"/>
      <c r="U788" s="169"/>
      <c r="V788" s="169"/>
      <c r="W788" s="169"/>
      <c r="X788" s="169"/>
      <c r="Y788" s="169"/>
      <c r="Z788" s="169"/>
      <c r="AA788" s="169"/>
      <c r="AB788" s="169"/>
      <c r="AC788" s="169"/>
      <c r="AD788" s="169"/>
      <c r="AE788" s="169"/>
      <c r="AF788" s="169"/>
      <c r="AG788" s="169"/>
      <c r="AH788" s="169"/>
    </row>
    <row r="789" ht="45.75" customHeight="1">
      <c r="A789" s="169"/>
      <c r="B789" s="38" t="s">
        <v>76</v>
      </c>
      <c r="C789" s="191" t="s">
        <v>4802</v>
      </c>
      <c r="D789" s="39" t="s">
        <v>4803</v>
      </c>
      <c r="E789" s="39"/>
      <c r="F789" s="39"/>
      <c r="G789" s="39"/>
      <c r="H789" s="39" t="s">
        <v>4804</v>
      </c>
      <c r="I789" s="188">
        <v>45931.0</v>
      </c>
      <c r="J789" s="188">
        <v>45931.0</v>
      </c>
      <c r="K789" s="189">
        <v>975.0</v>
      </c>
      <c r="L789" s="206"/>
      <c r="M789" s="191" t="s">
        <v>4545</v>
      </c>
      <c r="N789" s="39"/>
      <c r="O789" s="169"/>
      <c r="P789" s="169"/>
      <c r="Q789" s="169"/>
      <c r="R789" s="169"/>
      <c r="S789" s="169"/>
      <c r="T789" s="169"/>
      <c r="U789" s="169"/>
      <c r="V789" s="169"/>
      <c r="W789" s="169"/>
      <c r="X789" s="169"/>
      <c r="Y789" s="169"/>
      <c r="Z789" s="169"/>
      <c r="AA789" s="169"/>
      <c r="AB789" s="169"/>
      <c r="AC789" s="169"/>
      <c r="AD789" s="169"/>
      <c r="AE789" s="169"/>
      <c r="AF789" s="169"/>
      <c r="AG789" s="169"/>
      <c r="AH789" s="169"/>
    </row>
    <row r="790" ht="45.75" customHeight="1">
      <c r="A790" s="169"/>
      <c r="B790" s="38" t="s">
        <v>76</v>
      </c>
      <c r="C790" s="191" t="s">
        <v>4805</v>
      </c>
      <c r="D790" s="39" t="s">
        <v>4806</v>
      </c>
      <c r="E790" s="39"/>
      <c r="F790" s="39"/>
      <c r="G790" s="39"/>
      <c r="H790" s="39" t="s">
        <v>4807</v>
      </c>
      <c r="I790" s="188">
        <v>45931.0</v>
      </c>
      <c r="J790" s="188">
        <v>45931.0</v>
      </c>
      <c r="K790" s="189">
        <v>1050.0</v>
      </c>
      <c r="L790" s="206"/>
      <c r="M790" s="191" t="s">
        <v>4545</v>
      </c>
      <c r="N790" s="39"/>
      <c r="O790" s="169"/>
      <c r="P790" s="169"/>
      <c r="Q790" s="169"/>
      <c r="R790" s="169"/>
      <c r="S790" s="169"/>
      <c r="T790" s="169"/>
      <c r="U790" s="169"/>
      <c r="V790" s="169"/>
      <c r="W790" s="169"/>
      <c r="X790" s="169"/>
      <c r="Y790" s="169"/>
      <c r="Z790" s="169"/>
      <c r="AA790" s="169"/>
      <c r="AB790" s="169"/>
      <c r="AC790" s="169"/>
      <c r="AD790" s="169"/>
      <c r="AE790" s="169"/>
      <c r="AF790" s="169"/>
      <c r="AG790" s="169"/>
      <c r="AH790" s="169"/>
    </row>
    <row r="791" ht="45.75" customHeight="1">
      <c r="A791" s="169"/>
      <c r="B791" s="38" t="s">
        <v>26</v>
      </c>
      <c r="C791" s="191" t="s">
        <v>4808</v>
      </c>
      <c r="D791" s="39" t="s">
        <v>1369</v>
      </c>
      <c r="E791" s="39"/>
      <c r="F791" s="39" t="s">
        <v>623</v>
      </c>
      <c r="G791" s="39" t="s">
        <v>26</v>
      </c>
      <c r="H791" s="39" t="s">
        <v>4809</v>
      </c>
      <c r="I791" s="188">
        <v>45931.0</v>
      </c>
      <c r="J791" s="205">
        <f>I791+65</f>
        <v>45996</v>
      </c>
      <c r="K791" s="189">
        <v>83.0</v>
      </c>
      <c r="L791" s="206"/>
      <c r="M791" s="191" t="s">
        <v>4545</v>
      </c>
      <c r="N791" s="39"/>
      <c r="O791" s="169"/>
      <c r="P791" s="169"/>
      <c r="Q791" s="169"/>
      <c r="R791" s="169"/>
      <c r="S791" s="169"/>
      <c r="T791" s="169"/>
      <c r="U791" s="169"/>
      <c r="V791" s="169"/>
      <c r="W791" s="169"/>
      <c r="X791" s="169"/>
      <c r="Y791" s="169"/>
      <c r="Z791" s="169"/>
      <c r="AA791" s="169"/>
      <c r="AB791" s="169"/>
      <c r="AC791" s="169"/>
      <c r="AD791" s="169"/>
      <c r="AE791" s="169"/>
      <c r="AF791" s="169"/>
      <c r="AG791" s="169"/>
      <c r="AH791" s="169"/>
    </row>
    <row r="792" ht="45.75" customHeight="1">
      <c r="A792" s="169"/>
      <c r="B792" s="38" t="s">
        <v>2119</v>
      </c>
      <c r="C792" s="191" t="s">
        <v>4810</v>
      </c>
      <c r="D792" s="39" t="s">
        <v>4811</v>
      </c>
      <c r="E792" s="39"/>
      <c r="F792" s="39"/>
      <c r="G792" s="39"/>
      <c r="H792" s="39" t="s">
        <v>4812</v>
      </c>
      <c r="I792" s="188">
        <v>45931.0</v>
      </c>
      <c r="J792" s="188">
        <v>45931.0</v>
      </c>
      <c r="K792" s="189">
        <v>482.87</v>
      </c>
      <c r="L792" s="206"/>
      <c r="M792" s="191" t="s">
        <v>4545</v>
      </c>
      <c r="N792" s="39" t="s">
        <v>4813</v>
      </c>
      <c r="O792" s="169"/>
      <c r="P792" s="169"/>
      <c r="Q792" s="169"/>
      <c r="R792" s="169"/>
      <c r="S792" s="169"/>
      <c r="T792" s="169"/>
      <c r="U792" s="169"/>
      <c r="V792" s="169"/>
      <c r="W792" s="169"/>
      <c r="X792" s="169"/>
      <c r="Y792" s="169"/>
      <c r="Z792" s="169"/>
      <c r="AA792" s="169"/>
      <c r="AB792" s="169"/>
      <c r="AC792" s="169"/>
      <c r="AD792" s="169"/>
      <c r="AE792" s="169"/>
      <c r="AF792" s="169"/>
      <c r="AG792" s="169"/>
      <c r="AH792" s="169"/>
    </row>
    <row r="793" ht="45.75" customHeight="1">
      <c r="A793" s="169"/>
      <c r="B793" s="38" t="s">
        <v>2119</v>
      </c>
      <c r="C793" s="191" t="s">
        <v>4814</v>
      </c>
      <c r="D793" s="39" t="s">
        <v>4815</v>
      </c>
      <c r="E793" s="39"/>
      <c r="F793" s="39"/>
      <c r="G793" s="39"/>
      <c r="H793" s="39" t="s">
        <v>4816</v>
      </c>
      <c r="I793" s="188">
        <v>45931.0</v>
      </c>
      <c r="J793" s="188">
        <v>45931.0</v>
      </c>
      <c r="K793" s="189">
        <v>9657.32</v>
      </c>
      <c r="L793" s="206"/>
      <c r="M793" s="191" t="s">
        <v>4545</v>
      </c>
      <c r="N793" s="39" t="s">
        <v>4813</v>
      </c>
      <c r="O793" s="169"/>
      <c r="P793" s="169"/>
      <c r="Q793" s="169"/>
      <c r="R793" s="169"/>
      <c r="S793" s="169"/>
      <c r="T793" s="169"/>
      <c r="U793" s="169"/>
      <c r="V793" s="169"/>
      <c r="W793" s="169"/>
      <c r="X793" s="169"/>
      <c r="Y793" s="169"/>
      <c r="Z793" s="169"/>
      <c r="AA793" s="169"/>
      <c r="AB793" s="169"/>
      <c r="AC793" s="169"/>
      <c r="AD793" s="169"/>
      <c r="AE793" s="169"/>
      <c r="AF793" s="169"/>
      <c r="AG793" s="169"/>
      <c r="AH793" s="169"/>
    </row>
    <row r="794" ht="45.75" customHeight="1">
      <c r="A794" s="169"/>
      <c r="B794" s="38" t="s">
        <v>2119</v>
      </c>
      <c r="C794" s="191" t="s">
        <v>4817</v>
      </c>
      <c r="D794" s="39" t="s">
        <v>4818</v>
      </c>
      <c r="E794" s="39"/>
      <c r="F794" s="39"/>
      <c r="G794" s="39"/>
      <c r="H794" s="39" t="s">
        <v>4819</v>
      </c>
      <c r="I794" s="188">
        <v>45931.0</v>
      </c>
      <c r="J794" s="188">
        <v>45931.0</v>
      </c>
      <c r="K794" s="189">
        <v>24143.3</v>
      </c>
      <c r="L794" s="206"/>
      <c r="M794" s="191" t="s">
        <v>4545</v>
      </c>
      <c r="N794" s="39" t="s">
        <v>4813</v>
      </c>
      <c r="O794" s="169"/>
      <c r="P794" s="169"/>
      <c r="Q794" s="169"/>
      <c r="R794" s="169"/>
      <c r="S794" s="169"/>
      <c r="T794" s="169"/>
      <c r="U794" s="169"/>
      <c r="V794" s="169"/>
      <c r="W794" s="169"/>
      <c r="X794" s="169"/>
      <c r="Y794" s="169"/>
      <c r="Z794" s="169"/>
      <c r="AA794" s="169"/>
      <c r="AB794" s="169"/>
      <c r="AC794" s="169"/>
      <c r="AD794" s="169"/>
      <c r="AE794" s="169"/>
      <c r="AF794" s="169"/>
      <c r="AG794" s="169"/>
      <c r="AH794" s="169"/>
    </row>
    <row r="795" ht="45.75" customHeight="1">
      <c r="A795" s="169"/>
      <c r="B795" s="38" t="s">
        <v>2119</v>
      </c>
      <c r="C795" s="191" t="s">
        <v>4820</v>
      </c>
      <c r="D795" s="39" t="s">
        <v>4821</v>
      </c>
      <c r="E795" s="39"/>
      <c r="F795" s="39"/>
      <c r="G795" s="39"/>
      <c r="H795" s="39" t="s">
        <v>4822</v>
      </c>
      <c r="I795" s="188">
        <v>45931.0</v>
      </c>
      <c r="J795" s="188">
        <v>45931.0</v>
      </c>
      <c r="K795" s="189">
        <v>48286.6</v>
      </c>
      <c r="L795" s="206"/>
      <c r="M795" s="191" t="s">
        <v>4545</v>
      </c>
      <c r="N795" s="39" t="s">
        <v>4813</v>
      </c>
      <c r="O795" s="169"/>
      <c r="P795" s="169"/>
      <c r="Q795" s="169"/>
      <c r="R795" s="169"/>
      <c r="S795" s="169"/>
      <c r="T795" s="169"/>
      <c r="U795" s="169"/>
      <c r="V795" s="169"/>
      <c r="W795" s="169"/>
      <c r="X795" s="169"/>
      <c r="Y795" s="169"/>
      <c r="Z795" s="169"/>
      <c r="AA795" s="169"/>
      <c r="AB795" s="169"/>
      <c r="AC795" s="169"/>
      <c r="AD795" s="169"/>
      <c r="AE795" s="169"/>
      <c r="AF795" s="169"/>
      <c r="AG795" s="169"/>
      <c r="AH795" s="169"/>
    </row>
    <row r="796" ht="45.75" customHeight="1">
      <c r="A796" s="169"/>
      <c r="B796" s="38" t="s">
        <v>2311</v>
      </c>
      <c r="C796" s="191" t="s">
        <v>4823</v>
      </c>
      <c r="D796" s="39" t="s">
        <v>4824</v>
      </c>
      <c r="E796" s="39"/>
      <c r="F796" s="39"/>
      <c r="G796" s="39"/>
      <c r="H796" s="39" t="s">
        <v>4825</v>
      </c>
      <c r="I796" s="188">
        <v>45931.0</v>
      </c>
      <c r="J796" s="188">
        <v>45931.0</v>
      </c>
      <c r="K796" s="189">
        <v>903.0</v>
      </c>
      <c r="L796" s="206"/>
      <c r="M796" s="191" t="s">
        <v>4545</v>
      </c>
      <c r="N796" s="39" t="s">
        <v>4813</v>
      </c>
      <c r="O796" s="169"/>
      <c r="P796" s="169"/>
      <c r="Q796" s="169"/>
      <c r="R796" s="169"/>
      <c r="S796" s="169"/>
      <c r="T796" s="169"/>
      <c r="U796" s="169"/>
      <c r="V796" s="169"/>
      <c r="W796" s="169"/>
      <c r="X796" s="169"/>
      <c r="Y796" s="169"/>
      <c r="Z796" s="169"/>
      <c r="AA796" s="169"/>
      <c r="AB796" s="169"/>
      <c r="AC796" s="169"/>
      <c r="AD796" s="169"/>
      <c r="AE796" s="169"/>
      <c r="AF796" s="169"/>
      <c r="AG796" s="169"/>
      <c r="AH796" s="169"/>
    </row>
    <row r="797" ht="45.75" customHeight="1">
      <c r="A797" s="169"/>
      <c r="B797" s="38" t="s">
        <v>2311</v>
      </c>
      <c r="C797" s="191" t="s">
        <v>4826</v>
      </c>
      <c r="D797" s="39" t="s">
        <v>4827</v>
      </c>
      <c r="E797" s="39"/>
      <c r="F797" s="39"/>
      <c r="G797" s="39"/>
      <c r="H797" s="39" t="s">
        <v>4828</v>
      </c>
      <c r="I797" s="188">
        <v>45931.0</v>
      </c>
      <c r="J797" s="188">
        <v>45931.0</v>
      </c>
      <c r="K797" s="189">
        <v>975.0</v>
      </c>
      <c r="L797" s="206"/>
      <c r="M797" s="191" t="s">
        <v>4545</v>
      </c>
      <c r="N797" s="39" t="s">
        <v>4813</v>
      </c>
      <c r="O797" s="169"/>
      <c r="P797" s="169"/>
      <c r="Q797" s="169"/>
      <c r="R797" s="169"/>
      <c r="S797" s="169"/>
      <c r="T797" s="169"/>
      <c r="U797" s="169"/>
      <c r="V797" s="169"/>
      <c r="W797" s="169"/>
      <c r="X797" s="169"/>
      <c r="Y797" s="169"/>
      <c r="Z797" s="169"/>
      <c r="AA797" s="169"/>
      <c r="AB797" s="169"/>
      <c r="AC797" s="169"/>
      <c r="AD797" s="169"/>
      <c r="AE797" s="169"/>
      <c r="AF797" s="169"/>
      <c r="AG797" s="169"/>
      <c r="AH797" s="169"/>
    </row>
    <row r="798" ht="45.75" customHeight="1">
      <c r="A798" s="169"/>
      <c r="B798" s="38" t="s">
        <v>2311</v>
      </c>
      <c r="C798" s="191" t="s">
        <v>4829</v>
      </c>
      <c r="D798" s="39" t="s">
        <v>4830</v>
      </c>
      <c r="E798" s="39"/>
      <c r="F798" s="39"/>
      <c r="G798" s="39"/>
      <c r="H798" s="39" t="s">
        <v>4831</v>
      </c>
      <c r="I798" s="188">
        <v>45931.0</v>
      </c>
      <c r="J798" s="188">
        <v>45931.0</v>
      </c>
      <c r="K798" s="189">
        <v>1165.0</v>
      </c>
      <c r="L798" s="206"/>
      <c r="M798" s="191" t="s">
        <v>4545</v>
      </c>
      <c r="N798" s="39" t="s">
        <v>4813</v>
      </c>
      <c r="O798" s="169"/>
      <c r="P798" s="169"/>
      <c r="Q798" s="169"/>
      <c r="R798" s="169"/>
      <c r="S798" s="169"/>
      <c r="T798" s="169"/>
      <c r="U798" s="169"/>
      <c r="V798" s="169"/>
      <c r="W798" s="169"/>
      <c r="X798" s="169"/>
      <c r="Y798" s="169"/>
      <c r="Z798" s="169"/>
      <c r="AA798" s="169"/>
      <c r="AB798" s="169"/>
      <c r="AC798" s="169"/>
      <c r="AD798" s="169"/>
      <c r="AE798" s="169"/>
      <c r="AF798" s="169"/>
      <c r="AG798" s="169"/>
      <c r="AH798" s="169"/>
    </row>
    <row r="799" ht="45.75" customHeight="1">
      <c r="A799" s="169"/>
      <c r="B799" s="38" t="s">
        <v>2311</v>
      </c>
      <c r="C799" s="191" t="s">
        <v>4832</v>
      </c>
      <c r="D799" s="39" t="s">
        <v>4833</v>
      </c>
      <c r="E799" s="39"/>
      <c r="F799" s="39"/>
      <c r="G799" s="39"/>
      <c r="H799" s="39" t="s">
        <v>4834</v>
      </c>
      <c r="I799" s="188">
        <v>45931.0</v>
      </c>
      <c r="J799" s="188">
        <v>45931.0</v>
      </c>
      <c r="K799" s="189">
        <v>1445.0</v>
      </c>
      <c r="L799" s="206"/>
      <c r="M799" s="191" t="s">
        <v>4545</v>
      </c>
      <c r="N799" s="39" t="s">
        <v>4813</v>
      </c>
      <c r="O799" s="169"/>
      <c r="P799" s="169"/>
      <c r="Q799" s="169"/>
      <c r="R799" s="169"/>
      <c r="S799" s="169"/>
      <c r="T799" s="169"/>
      <c r="U799" s="169"/>
      <c r="V799" s="169"/>
      <c r="W799" s="169"/>
      <c r="X799" s="169"/>
      <c r="Y799" s="169"/>
      <c r="Z799" s="169"/>
      <c r="AA799" s="169"/>
      <c r="AB799" s="169"/>
      <c r="AC799" s="169"/>
      <c r="AD799" s="169"/>
      <c r="AE799" s="169"/>
      <c r="AF799" s="169"/>
      <c r="AG799" s="169"/>
      <c r="AH799" s="169"/>
    </row>
    <row r="800" ht="45.75" customHeight="1">
      <c r="A800" s="169"/>
      <c r="B800" s="38" t="s">
        <v>118</v>
      </c>
      <c r="C800" s="191" t="s">
        <v>372</v>
      </c>
      <c r="D800" s="39" t="s">
        <v>373</v>
      </c>
      <c r="E800" s="39" t="s">
        <v>168</v>
      </c>
      <c r="F800" s="39" t="s">
        <v>340</v>
      </c>
      <c r="G800" s="39" t="s">
        <v>18</v>
      </c>
      <c r="H800" s="39" t="s">
        <v>375</v>
      </c>
      <c r="I800" s="188">
        <v>45992.0</v>
      </c>
      <c r="J800" s="205">
        <f t="shared" ref="J800:J806" si="6">I800+90</f>
        <v>46082</v>
      </c>
      <c r="K800" s="189">
        <v>1550.0</v>
      </c>
      <c r="L800" s="206"/>
      <c r="M800" s="191" t="s">
        <v>357</v>
      </c>
      <c r="N800" s="39" t="s">
        <v>358</v>
      </c>
      <c r="O800" s="169"/>
      <c r="P800" s="169"/>
      <c r="Q800" s="169"/>
      <c r="R800" s="169"/>
      <c r="S800" s="169"/>
      <c r="T800" s="169"/>
      <c r="U800" s="169"/>
      <c r="V800" s="169"/>
      <c r="W800" s="169"/>
      <c r="X800" s="169"/>
      <c r="Y800" s="169"/>
      <c r="Z800" s="169"/>
      <c r="AA800" s="169"/>
      <c r="AB800" s="169"/>
      <c r="AC800" s="169"/>
      <c r="AD800" s="169"/>
      <c r="AE800" s="169"/>
      <c r="AF800" s="169"/>
      <c r="AG800" s="169"/>
      <c r="AH800" s="169"/>
    </row>
    <row r="801" ht="45.75" customHeight="1">
      <c r="A801" s="169"/>
      <c r="B801" s="38" t="s">
        <v>118</v>
      </c>
      <c r="C801" s="191" t="s">
        <v>380</v>
      </c>
      <c r="D801" s="39" t="s">
        <v>381</v>
      </c>
      <c r="E801" s="39" t="s">
        <v>168</v>
      </c>
      <c r="F801" s="39" t="s">
        <v>340</v>
      </c>
      <c r="G801" s="39" t="s">
        <v>192</v>
      </c>
      <c r="H801" s="39" t="s">
        <v>383</v>
      </c>
      <c r="I801" s="188">
        <v>45992.0</v>
      </c>
      <c r="J801" s="205">
        <f t="shared" si="6"/>
        <v>46082</v>
      </c>
      <c r="K801" s="189">
        <v>1350.0</v>
      </c>
      <c r="L801" s="206"/>
      <c r="M801" s="191" t="s">
        <v>4545</v>
      </c>
      <c r="N801" s="39"/>
      <c r="O801" s="169"/>
      <c r="P801" s="169"/>
      <c r="Q801" s="169"/>
      <c r="R801" s="169"/>
      <c r="S801" s="169"/>
      <c r="T801" s="169"/>
      <c r="U801" s="169"/>
      <c r="V801" s="169"/>
      <c r="W801" s="169"/>
      <c r="X801" s="169"/>
      <c r="Y801" s="169"/>
      <c r="Z801" s="169"/>
      <c r="AA801" s="169"/>
      <c r="AB801" s="169"/>
      <c r="AC801" s="169"/>
      <c r="AD801" s="169"/>
      <c r="AE801" s="169"/>
      <c r="AF801" s="169"/>
      <c r="AG801" s="169"/>
      <c r="AH801" s="169"/>
    </row>
    <row r="802" ht="45.75" customHeight="1">
      <c r="A802" s="169"/>
      <c r="B802" s="38" t="s">
        <v>118</v>
      </c>
      <c r="C802" s="191" t="s">
        <v>384</v>
      </c>
      <c r="D802" s="39" t="s">
        <v>385</v>
      </c>
      <c r="E802" s="39" t="s">
        <v>168</v>
      </c>
      <c r="F802" s="39" t="s">
        <v>340</v>
      </c>
      <c r="G802" s="39" t="s">
        <v>192</v>
      </c>
      <c r="H802" s="39" t="s">
        <v>387</v>
      </c>
      <c r="I802" s="188">
        <v>45992.0</v>
      </c>
      <c r="J802" s="205">
        <f t="shared" si="6"/>
        <v>46082</v>
      </c>
      <c r="K802" s="189">
        <v>1350.0</v>
      </c>
      <c r="L802" s="206"/>
      <c r="M802" s="191" t="s">
        <v>361</v>
      </c>
      <c r="N802" s="39" t="s">
        <v>362</v>
      </c>
      <c r="O802" s="169"/>
      <c r="P802" s="169"/>
      <c r="Q802" s="169"/>
      <c r="R802" s="169"/>
      <c r="S802" s="169"/>
      <c r="T802" s="169"/>
      <c r="U802" s="169"/>
      <c r="V802" s="169"/>
      <c r="W802" s="169"/>
      <c r="X802" s="169"/>
      <c r="Y802" s="169"/>
      <c r="Z802" s="169"/>
      <c r="AA802" s="169"/>
      <c r="AB802" s="169"/>
      <c r="AC802" s="169"/>
      <c r="AD802" s="169"/>
      <c r="AE802" s="169"/>
      <c r="AF802" s="169"/>
      <c r="AG802" s="169"/>
      <c r="AH802" s="169"/>
    </row>
    <row r="803" ht="45.75" customHeight="1">
      <c r="A803" s="169"/>
      <c r="B803" s="38" t="s">
        <v>118</v>
      </c>
      <c r="C803" s="191" t="s">
        <v>376</v>
      </c>
      <c r="D803" s="39" t="s">
        <v>377</v>
      </c>
      <c r="E803" s="39" t="s">
        <v>168</v>
      </c>
      <c r="F803" s="39" t="s">
        <v>340</v>
      </c>
      <c r="G803" s="39" t="s">
        <v>184</v>
      </c>
      <c r="H803" s="39" t="s">
        <v>379</v>
      </c>
      <c r="I803" s="188">
        <v>45992.0</v>
      </c>
      <c r="J803" s="205">
        <f t="shared" si="6"/>
        <v>46082</v>
      </c>
      <c r="K803" s="189">
        <v>1550.0</v>
      </c>
      <c r="L803" s="206"/>
      <c r="M803" s="191" t="s">
        <v>359</v>
      </c>
      <c r="N803" s="39" t="s">
        <v>360</v>
      </c>
      <c r="O803" s="169"/>
      <c r="P803" s="169"/>
      <c r="Q803" s="169"/>
      <c r="R803" s="169"/>
      <c r="S803" s="169"/>
      <c r="T803" s="169"/>
      <c r="U803" s="169"/>
      <c r="V803" s="169"/>
      <c r="W803" s="169"/>
      <c r="X803" s="169"/>
      <c r="Y803" s="169"/>
      <c r="Z803" s="169"/>
      <c r="AA803" s="169"/>
      <c r="AB803" s="169"/>
      <c r="AC803" s="169"/>
      <c r="AD803" s="169"/>
      <c r="AE803" s="169"/>
      <c r="AF803" s="169"/>
      <c r="AG803" s="169"/>
      <c r="AH803" s="169"/>
    </row>
    <row r="804" ht="45.75" customHeight="1">
      <c r="A804" s="169"/>
      <c r="B804" s="38" t="s">
        <v>118</v>
      </c>
      <c r="C804" s="191" t="s">
        <v>4835</v>
      </c>
      <c r="D804" s="39" t="s">
        <v>4836</v>
      </c>
      <c r="E804" s="39" t="s">
        <v>168</v>
      </c>
      <c r="F804" s="39" t="s">
        <v>164</v>
      </c>
      <c r="G804" s="39" t="s">
        <v>213</v>
      </c>
      <c r="H804" s="39" t="s">
        <v>4837</v>
      </c>
      <c r="I804" s="188">
        <v>45992.0</v>
      </c>
      <c r="J804" s="205">
        <f t="shared" si="6"/>
        <v>46082</v>
      </c>
      <c r="K804" s="189">
        <v>4790.0</v>
      </c>
      <c r="L804" s="206"/>
      <c r="M804" s="191" t="s">
        <v>211</v>
      </c>
      <c r="N804" s="39" t="s">
        <v>214</v>
      </c>
      <c r="O804" s="169"/>
      <c r="P804" s="169"/>
      <c r="Q804" s="169"/>
      <c r="R804" s="169"/>
      <c r="S804" s="169"/>
      <c r="T804" s="169"/>
      <c r="U804" s="169"/>
      <c r="V804" s="169"/>
      <c r="W804" s="169"/>
      <c r="X804" s="169"/>
      <c r="Y804" s="169"/>
      <c r="Z804" s="169"/>
      <c r="AA804" s="169"/>
      <c r="AB804" s="169"/>
      <c r="AC804" s="169"/>
      <c r="AD804" s="169"/>
      <c r="AE804" s="169"/>
      <c r="AF804" s="169"/>
      <c r="AG804" s="169"/>
      <c r="AH804" s="169"/>
    </row>
    <row r="805" ht="45.75" customHeight="1">
      <c r="A805" s="169"/>
      <c r="B805" s="38" t="s">
        <v>118</v>
      </c>
      <c r="C805" s="191" t="s">
        <v>333</v>
      </c>
      <c r="D805" s="39" t="s">
        <v>334</v>
      </c>
      <c r="E805" s="39" t="s">
        <v>16</v>
      </c>
      <c r="F805" s="39" t="s">
        <v>160</v>
      </c>
      <c r="G805" s="39" t="s">
        <v>169</v>
      </c>
      <c r="H805" s="39" t="s">
        <v>336</v>
      </c>
      <c r="I805" s="188">
        <v>45992.0</v>
      </c>
      <c r="J805" s="205">
        <f t="shared" si="6"/>
        <v>46082</v>
      </c>
      <c r="K805" s="189">
        <v>1200.0</v>
      </c>
      <c r="L805" s="206"/>
      <c r="M805" s="191" t="s">
        <v>4545</v>
      </c>
      <c r="N805" s="39"/>
      <c r="O805" s="169"/>
      <c r="P805" s="169"/>
      <c r="Q805" s="169"/>
      <c r="R805" s="169"/>
      <c r="S805" s="169"/>
      <c r="T805" s="169"/>
      <c r="U805" s="169"/>
      <c r="V805" s="169"/>
      <c r="W805" s="169"/>
      <c r="X805" s="169"/>
      <c r="Y805" s="169"/>
      <c r="Z805" s="169"/>
      <c r="AA805" s="169"/>
      <c r="AB805" s="169"/>
      <c r="AC805" s="169"/>
      <c r="AD805" s="169"/>
      <c r="AE805" s="169"/>
      <c r="AF805" s="169"/>
      <c r="AG805" s="169"/>
      <c r="AH805" s="169"/>
    </row>
    <row r="806" ht="45.75" customHeight="1">
      <c r="A806" s="169"/>
      <c r="B806" s="38" t="s">
        <v>23</v>
      </c>
      <c r="C806" s="191" t="s">
        <v>4838</v>
      </c>
      <c r="D806" s="39" t="s">
        <v>1410</v>
      </c>
      <c r="E806" s="39"/>
      <c r="F806" s="39"/>
      <c r="G806" s="39"/>
      <c r="H806" s="39" t="s">
        <v>4839</v>
      </c>
      <c r="I806" s="188">
        <v>45992.0</v>
      </c>
      <c r="J806" s="205">
        <f t="shared" si="6"/>
        <v>46082</v>
      </c>
      <c r="K806" s="189">
        <v>250.0</v>
      </c>
      <c r="L806" s="206"/>
      <c r="M806" s="191" t="s">
        <v>4545</v>
      </c>
      <c r="N806" s="39"/>
      <c r="O806" s="169"/>
      <c r="P806" s="169"/>
      <c r="Q806" s="169"/>
      <c r="R806" s="169"/>
      <c r="S806" s="169"/>
      <c r="T806" s="169"/>
      <c r="U806" s="169"/>
      <c r="V806" s="169"/>
      <c r="W806" s="169"/>
      <c r="X806" s="169"/>
      <c r="Y806" s="169"/>
      <c r="Z806" s="169"/>
      <c r="AA806" s="169"/>
      <c r="AB806" s="169"/>
      <c r="AC806" s="169"/>
      <c r="AD806" s="169"/>
      <c r="AE806" s="169"/>
      <c r="AF806" s="169"/>
      <c r="AG806" s="169"/>
      <c r="AH806" s="169"/>
    </row>
    <row r="807" ht="45.75" customHeight="1">
      <c r="A807" s="169"/>
      <c r="B807" s="38" t="s">
        <v>23</v>
      </c>
      <c r="C807" s="191" t="s">
        <v>4840</v>
      </c>
      <c r="D807" s="39" t="s">
        <v>3709</v>
      </c>
      <c r="E807" s="39"/>
      <c r="F807" s="39"/>
      <c r="G807" s="39"/>
      <c r="H807" s="39" t="s">
        <v>4841</v>
      </c>
      <c r="I807" s="188">
        <v>45992.0</v>
      </c>
      <c r="J807" s="188">
        <v>46023.0</v>
      </c>
      <c r="K807" s="189">
        <v>410.0</v>
      </c>
      <c r="L807" s="206"/>
      <c r="M807" s="191" t="s">
        <v>4545</v>
      </c>
      <c r="N807" s="39"/>
      <c r="O807" s="169"/>
      <c r="P807" s="169"/>
      <c r="Q807" s="169"/>
      <c r="R807" s="169"/>
      <c r="S807" s="169"/>
      <c r="T807" s="169"/>
      <c r="U807" s="169"/>
      <c r="V807" s="169"/>
      <c r="W807" s="169"/>
      <c r="X807" s="169"/>
      <c r="Y807" s="169"/>
      <c r="Z807" s="169"/>
      <c r="AA807" s="169"/>
      <c r="AB807" s="169"/>
      <c r="AC807" s="169"/>
      <c r="AD807" s="169"/>
      <c r="AE807" s="169"/>
      <c r="AF807" s="169"/>
      <c r="AG807" s="169"/>
      <c r="AH807" s="169"/>
    </row>
    <row r="808" ht="45.75" customHeight="1">
      <c r="A808" s="169"/>
      <c r="B808" s="38" t="s">
        <v>4842</v>
      </c>
      <c r="C808" s="191" t="s">
        <v>4843</v>
      </c>
      <c r="D808" s="39" t="s">
        <v>4844</v>
      </c>
      <c r="E808" s="39"/>
      <c r="F808" s="39"/>
      <c r="G808" s="39" t="s">
        <v>4845</v>
      </c>
      <c r="H808" s="42" t="s">
        <v>4846</v>
      </c>
      <c r="I808" s="188">
        <v>45992.0</v>
      </c>
      <c r="J808" s="188">
        <v>46023.0</v>
      </c>
      <c r="K808" s="189">
        <v>918.0</v>
      </c>
      <c r="L808" s="206"/>
      <c r="M808" s="191" t="s">
        <v>4545</v>
      </c>
      <c r="N808" s="39"/>
      <c r="O808" s="169"/>
      <c r="P808" s="169"/>
      <c r="Q808" s="169"/>
      <c r="R808" s="169"/>
      <c r="S808" s="169"/>
      <c r="T808" s="169"/>
      <c r="U808" s="169"/>
      <c r="V808" s="169"/>
      <c r="W808" s="169"/>
      <c r="X808" s="169"/>
      <c r="Y808" s="169"/>
      <c r="Z808" s="169"/>
      <c r="AA808" s="169"/>
      <c r="AB808" s="169"/>
      <c r="AC808" s="169"/>
      <c r="AD808" s="169"/>
      <c r="AE808" s="169"/>
      <c r="AF808" s="169"/>
      <c r="AG808" s="169"/>
      <c r="AH808" s="169"/>
    </row>
    <row r="809" ht="45.75" customHeight="1">
      <c r="A809" s="169"/>
      <c r="B809" s="38" t="s">
        <v>4842</v>
      </c>
      <c r="C809" s="191" t="s">
        <v>4847</v>
      </c>
      <c r="D809" s="39" t="s">
        <v>4848</v>
      </c>
      <c r="E809" s="39"/>
      <c r="F809" s="39"/>
      <c r="G809" s="39" t="s">
        <v>4845</v>
      </c>
      <c r="H809" s="42" t="s">
        <v>4849</v>
      </c>
      <c r="I809" s="188">
        <v>45992.0</v>
      </c>
      <c r="J809" s="188">
        <v>46023.0</v>
      </c>
      <c r="K809" s="189">
        <v>529.0</v>
      </c>
      <c r="L809" s="206"/>
      <c r="M809" s="191" t="s">
        <v>4545</v>
      </c>
      <c r="N809" s="39"/>
      <c r="O809" s="169"/>
      <c r="P809" s="169"/>
      <c r="Q809" s="169"/>
      <c r="R809" s="169"/>
      <c r="S809" s="169"/>
      <c r="T809" s="169"/>
      <c r="U809" s="169"/>
      <c r="V809" s="169"/>
      <c r="W809" s="169"/>
      <c r="X809" s="169"/>
      <c r="Y809" s="169"/>
      <c r="Z809" s="169"/>
      <c r="AA809" s="169"/>
      <c r="AB809" s="169"/>
      <c r="AC809" s="169"/>
      <c r="AD809" s="169"/>
      <c r="AE809" s="169"/>
      <c r="AF809" s="169"/>
      <c r="AG809" s="169"/>
      <c r="AH809" s="169"/>
    </row>
    <row r="810" ht="45.75" customHeight="1">
      <c r="A810" s="169"/>
      <c r="B810" s="38" t="s">
        <v>4842</v>
      </c>
      <c r="C810" s="191" t="s">
        <v>4850</v>
      </c>
      <c r="D810" s="39" t="s">
        <v>4851</v>
      </c>
      <c r="E810" s="39"/>
      <c r="F810" s="39"/>
      <c r="G810" s="39" t="s">
        <v>4845</v>
      </c>
      <c r="H810" s="42" t="s">
        <v>4852</v>
      </c>
      <c r="I810" s="188">
        <v>45992.0</v>
      </c>
      <c r="J810" s="188">
        <v>46023.0</v>
      </c>
      <c r="K810" s="189">
        <v>556.0</v>
      </c>
      <c r="L810" s="206"/>
      <c r="M810" s="191" t="s">
        <v>4545</v>
      </c>
      <c r="N810" s="39"/>
      <c r="O810" s="169"/>
      <c r="P810" s="169"/>
      <c r="Q810" s="169"/>
      <c r="R810" s="169"/>
      <c r="S810" s="169"/>
      <c r="T810" s="169"/>
      <c r="U810" s="169"/>
      <c r="V810" s="169"/>
      <c r="W810" s="169"/>
      <c r="X810" s="169"/>
      <c r="Y810" s="169"/>
      <c r="Z810" s="169"/>
      <c r="AA810" s="169"/>
      <c r="AB810" s="169"/>
      <c r="AC810" s="169"/>
      <c r="AD810" s="169"/>
      <c r="AE810" s="169"/>
      <c r="AF810" s="169"/>
      <c r="AG810" s="169"/>
      <c r="AH810" s="169"/>
    </row>
    <row r="811" ht="45.75" customHeight="1">
      <c r="A811" s="169"/>
      <c r="B811" s="38" t="s">
        <v>4842</v>
      </c>
      <c r="C811" s="191" t="s">
        <v>4853</v>
      </c>
      <c r="D811" s="39" t="s">
        <v>4854</v>
      </c>
      <c r="E811" s="39"/>
      <c r="F811" s="39"/>
      <c r="G811" s="39" t="s">
        <v>4845</v>
      </c>
      <c r="H811" s="42" t="s">
        <v>4855</v>
      </c>
      <c r="I811" s="188">
        <v>45992.0</v>
      </c>
      <c r="J811" s="188">
        <v>46023.0</v>
      </c>
      <c r="K811" s="189">
        <v>631.0</v>
      </c>
      <c r="L811" s="206"/>
      <c r="M811" s="191" t="s">
        <v>4545</v>
      </c>
      <c r="N811" s="39"/>
      <c r="O811" s="169"/>
      <c r="P811" s="169"/>
      <c r="Q811" s="169"/>
      <c r="R811" s="169"/>
      <c r="S811" s="169"/>
      <c r="T811" s="169"/>
      <c r="U811" s="169"/>
      <c r="V811" s="169"/>
      <c r="W811" s="169"/>
      <c r="X811" s="169"/>
      <c r="Y811" s="169"/>
      <c r="Z811" s="169"/>
      <c r="AA811" s="169"/>
      <c r="AB811" s="169"/>
      <c r="AC811" s="169"/>
      <c r="AD811" s="169"/>
      <c r="AE811" s="169"/>
      <c r="AF811" s="169"/>
      <c r="AG811" s="169"/>
      <c r="AH811" s="169"/>
    </row>
    <row r="812" ht="45.75" customHeight="1">
      <c r="A812" s="169"/>
      <c r="B812" s="38" t="s">
        <v>4842</v>
      </c>
      <c r="C812" s="191" t="s">
        <v>4856</v>
      </c>
      <c r="D812" s="39" t="s">
        <v>4857</v>
      </c>
      <c r="E812" s="39"/>
      <c r="F812" s="39"/>
      <c r="G812" s="39" t="s">
        <v>4845</v>
      </c>
      <c r="H812" s="42" t="s">
        <v>4858</v>
      </c>
      <c r="I812" s="188">
        <v>45992.0</v>
      </c>
      <c r="J812" s="188">
        <v>46023.0</v>
      </c>
      <c r="K812" s="189">
        <v>145.0</v>
      </c>
      <c r="L812" s="206"/>
      <c r="M812" s="191" t="s">
        <v>4545</v>
      </c>
      <c r="N812" s="39"/>
      <c r="O812" s="169"/>
      <c r="P812" s="169"/>
      <c r="Q812" s="169"/>
      <c r="R812" s="169"/>
      <c r="S812" s="169"/>
      <c r="T812" s="169"/>
      <c r="U812" s="169"/>
      <c r="V812" s="169"/>
      <c r="W812" s="169"/>
      <c r="X812" s="169"/>
      <c r="Y812" s="169"/>
      <c r="Z812" s="169"/>
      <c r="AA812" s="169"/>
      <c r="AB812" s="169"/>
      <c r="AC812" s="169"/>
      <c r="AD812" s="169"/>
      <c r="AE812" s="169"/>
      <c r="AF812" s="169"/>
      <c r="AG812" s="169"/>
      <c r="AH812" s="169"/>
    </row>
    <row r="813" ht="45.75" customHeight="1">
      <c r="A813" s="169"/>
      <c r="B813" s="38" t="s">
        <v>4842</v>
      </c>
      <c r="C813" s="191" t="s">
        <v>4859</v>
      </c>
      <c r="D813" s="39" t="s">
        <v>4860</v>
      </c>
      <c r="E813" s="39"/>
      <c r="F813" s="39"/>
      <c r="G813" s="39" t="s">
        <v>4845</v>
      </c>
      <c r="H813" s="42" t="s">
        <v>4861</v>
      </c>
      <c r="I813" s="188">
        <v>45992.0</v>
      </c>
      <c r="J813" s="188">
        <v>46023.0</v>
      </c>
      <c r="K813" s="189">
        <v>219.0</v>
      </c>
      <c r="L813" s="206"/>
      <c r="M813" s="191" t="s">
        <v>4545</v>
      </c>
      <c r="N813" s="39"/>
      <c r="O813" s="169"/>
      <c r="P813" s="169"/>
      <c r="Q813" s="169"/>
      <c r="R813" s="169"/>
      <c r="S813" s="169"/>
      <c r="T813" s="169"/>
      <c r="U813" s="169"/>
      <c r="V813" s="169"/>
      <c r="W813" s="169"/>
      <c r="X813" s="169"/>
      <c r="Y813" s="169"/>
      <c r="Z813" s="169"/>
      <c r="AA813" s="169"/>
      <c r="AB813" s="169"/>
      <c r="AC813" s="169"/>
      <c r="AD813" s="169"/>
      <c r="AE813" s="169"/>
      <c r="AF813" s="169"/>
      <c r="AG813" s="169"/>
      <c r="AH813" s="169"/>
    </row>
    <row r="814" ht="45.75" customHeight="1">
      <c r="A814" s="169"/>
      <c r="B814" s="38" t="s">
        <v>4842</v>
      </c>
      <c r="C814" s="191" t="s">
        <v>4862</v>
      </c>
      <c r="D814" s="39" t="s">
        <v>4863</v>
      </c>
      <c r="E814" s="39"/>
      <c r="F814" s="39"/>
      <c r="G814" s="39" t="s">
        <v>4845</v>
      </c>
      <c r="H814" s="42" t="s">
        <v>4864</v>
      </c>
      <c r="I814" s="188">
        <v>45992.0</v>
      </c>
      <c r="J814" s="188">
        <v>46023.0</v>
      </c>
      <c r="K814" s="189">
        <v>566.0</v>
      </c>
      <c r="L814" s="206"/>
      <c r="M814" s="191" t="s">
        <v>4545</v>
      </c>
      <c r="N814" s="39"/>
      <c r="O814" s="169"/>
      <c r="P814" s="169"/>
      <c r="Q814" s="169"/>
      <c r="R814" s="169"/>
      <c r="S814" s="169"/>
      <c r="T814" s="169"/>
      <c r="U814" s="169"/>
      <c r="V814" s="169"/>
      <c r="W814" s="169"/>
      <c r="X814" s="169"/>
      <c r="Y814" s="169"/>
      <c r="Z814" s="169"/>
      <c r="AA814" s="169"/>
      <c r="AB814" s="169"/>
      <c r="AC814" s="169"/>
      <c r="AD814" s="169"/>
      <c r="AE814" s="169"/>
      <c r="AF814" s="169"/>
      <c r="AG814" s="169"/>
      <c r="AH814" s="169"/>
    </row>
    <row r="815" ht="45.75" customHeight="1">
      <c r="A815" s="169"/>
      <c r="B815" s="38" t="s">
        <v>4842</v>
      </c>
      <c r="C815" s="191" t="s">
        <v>4865</v>
      </c>
      <c r="D815" s="39" t="s">
        <v>4860</v>
      </c>
      <c r="E815" s="39"/>
      <c r="F815" s="39"/>
      <c r="G815" s="39" t="s">
        <v>4845</v>
      </c>
      <c r="H815" s="42" t="s">
        <v>4866</v>
      </c>
      <c r="I815" s="188">
        <v>45992.0</v>
      </c>
      <c r="J815" s="188">
        <v>46023.0</v>
      </c>
      <c r="K815" s="189">
        <v>294.0</v>
      </c>
      <c r="L815" s="206"/>
      <c r="M815" s="191" t="s">
        <v>4545</v>
      </c>
      <c r="N815" s="39"/>
      <c r="O815" s="169"/>
      <c r="P815" s="169"/>
      <c r="Q815" s="169"/>
      <c r="R815" s="169"/>
      <c r="S815" s="169"/>
      <c r="T815" s="169"/>
      <c r="U815" s="169"/>
      <c r="V815" s="169"/>
      <c r="W815" s="169"/>
      <c r="X815" s="169"/>
      <c r="Y815" s="169"/>
      <c r="Z815" s="169"/>
      <c r="AA815" s="169"/>
      <c r="AB815" s="169"/>
      <c r="AC815" s="169"/>
      <c r="AD815" s="169"/>
      <c r="AE815" s="169"/>
      <c r="AF815" s="169"/>
      <c r="AG815" s="169"/>
      <c r="AH815" s="169"/>
    </row>
    <row r="816" ht="45.75" customHeight="1">
      <c r="A816" s="169"/>
      <c r="B816" s="38" t="s">
        <v>4842</v>
      </c>
      <c r="C816" s="191" t="s">
        <v>4867</v>
      </c>
      <c r="D816" s="39" t="s">
        <v>4863</v>
      </c>
      <c r="E816" s="39"/>
      <c r="F816" s="39"/>
      <c r="G816" s="39" t="s">
        <v>4845</v>
      </c>
      <c r="H816" s="42" t="s">
        <v>4868</v>
      </c>
      <c r="I816" s="188">
        <v>45992.0</v>
      </c>
      <c r="J816" s="188">
        <v>46023.0</v>
      </c>
      <c r="K816" s="189">
        <v>566.0</v>
      </c>
      <c r="L816" s="206"/>
      <c r="M816" s="191" t="s">
        <v>4545</v>
      </c>
      <c r="N816" s="39"/>
      <c r="O816" s="169"/>
      <c r="P816" s="169"/>
      <c r="Q816" s="169"/>
      <c r="R816" s="169"/>
      <c r="S816" s="169"/>
      <c r="T816" s="169"/>
      <c r="U816" s="169"/>
      <c r="V816" s="169"/>
      <c r="W816" s="169"/>
      <c r="X816" s="169"/>
      <c r="Y816" s="169"/>
      <c r="Z816" s="169"/>
      <c r="AA816" s="169"/>
      <c r="AB816" s="169"/>
      <c r="AC816" s="169"/>
      <c r="AD816" s="169"/>
      <c r="AE816" s="169"/>
      <c r="AF816" s="169"/>
      <c r="AG816" s="169"/>
      <c r="AH816" s="169"/>
    </row>
    <row r="817" ht="45.75" customHeight="1">
      <c r="A817" s="169"/>
      <c r="B817" s="38" t="s">
        <v>4842</v>
      </c>
      <c r="C817" s="191" t="s">
        <v>4869</v>
      </c>
      <c r="D817" s="39" t="s">
        <v>4870</v>
      </c>
      <c r="E817" s="39"/>
      <c r="F817" s="39"/>
      <c r="G817" s="39" t="s">
        <v>4845</v>
      </c>
      <c r="H817" s="42" t="s">
        <v>4871</v>
      </c>
      <c r="I817" s="188">
        <v>45992.0</v>
      </c>
      <c r="J817" s="188">
        <v>46023.0</v>
      </c>
      <c r="K817" s="189">
        <v>289.0</v>
      </c>
      <c r="L817" s="206"/>
      <c r="M817" s="191" t="s">
        <v>4545</v>
      </c>
      <c r="N817" s="39"/>
      <c r="O817" s="169"/>
      <c r="P817" s="169"/>
      <c r="Q817" s="169"/>
      <c r="R817" s="169"/>
      <c r="S817" s="169"/>
      <c r="T817" s="169"/>
      <c r="U817" s="169"/>
      <c r="V817" s="169"/>
      <c r="W817" s="169"/>
      <c r="X817" s="169"/>
      <c r="Y817" s="169"/>
      <c r="Z817" s="169"/>
      <c r="AA817" s="169"/>
      <c r="AB817" s="169"/>
      <c r="AC817" s="169"/>
      <c r="AD817" s="169"/>
      <c r="AE817" s="169"/>
      <c r="AF817" s="169"/>
      <c r="AG817" s="169"/>
      <c r="AH817" s="169"/>
    </row>
    <row r="818" ht="45.75" customHeight="1">
      <c r="A818" s="169"/>
      <c r="B818" s="38" t="s">
        <v>4842</v>
      </c>
      <c r="C818" s="191" t="s">
        <v>4872</v>
      </c>
      <c r="D818" s="39" t="s">
        <v>4873</v>
      </c>
      <c r="E818" s="39"/>
      <c r="F818" s="39"/>
      <c r="G818" s="39" t="s">
        <v>4845</v>
      </c>
      <c r="H818" s="42" t="s">
        <v>4874</v>
      </c>
      <c r="I818" s="188">
        <v>45992.0</v>
      </c>
      <c r="J818" s="188">
        <v>46023.0</v>
      </c>
      <c r="K818" s="189">
        <v>660.0</v>
      </c>
      <c r="L818" s="206"/>
      <c r="M818" s="191" t="s">
        <v>4545</v>
      </c>
      <c r="N818" s="39"/>
      <c r="O818" s="169"/>
      <c r="P818" s="169"/>
      <c r="Q818" s="169"/>
      <c r="R818" s="169"/>
      <c r="S818" s="169"/>
      <c r="T818" s="169"/>
      <c r="U818" s="169"/>
      <c r="V818" s="169"/>
      <c r="W818" s="169"/>
      <c r="X818" s="169"/>
      <c r="Y818" s="169"/>
      <c r="Z818" s="169"/>
      <c r="AA818" s="169"/>
      <c r="AB818" s="169"/>
      <c r="AC818" s="169"/>
      <c r="AD818" s="169"/>
      <c r="AE818" s="169"/>
      <c r="AF818" s="169"/>
      <c r="AG818" s="169"/>
      <c r="AH818" s="169"/>
    </row>
    <row r="819" ht="45.75" customHeight="1">
      <c r="A819" s="169"/>
      <c r="B819" s="38" t="s">
        <v>4842</v>
      </c>
      <c r="C819" s="191" t="s">
        <v>4875</v>
      </c>
      <c r="D819" s="39" t="s">
        <v>4870</v>
      </c>
      <c r="E819" s="39"/>
      <c r="F819" s="39"/>
      <c r="G819" s="39" t="s">
        <v>4845</v>
      </c>
      <c r="H819" s="42" t="s">
        <v>4876</v>
      </c>
      <c r="I819" s="188">
        <v>45992.0</v>
      </c>
      <c r="J819" s="188">
        <v>46023.0</v>
      </c>
      <c r="K819" s="189">
        <v>385.0</v>
      </c>
      <c r="L819" s="206"/>
      <c r="M819" s="191" t="s">
        <v>4545</v>
      </c>
      <c r="N819" s="39"/>
      <c r="O819" s="169"/>
      <c r="P819" s="169"/>
      <c r="Q819" s="169"/>
      <c r="R819" s="169"/>
      <c r="S819" s="169"/>
      <c r="T819" s="169"/>
      <c r="U819" s="169"/>
      <c r="V819" s="169"/>
      <c r="W819" s="169"/>
      <c r="X819" s="169"/>
      <c r="Y819" s="169"/>
      <c r="Z819" s="169"/>
      <c r="AA819" s="169"/>
      <c r="AB819" s="169"/>
      <c r="AC819" s="169"/>
      <c r="AD819" s="169"/>
      <c r="AE819" s="169"/>
      <c r="AF819" s="169"/>
      <c r="AG819" s="169"/>
      <c r="AH819" s="169"/>
    </row>
    <row r="820" ht="45.75" customHeight="1">
      <c r="A820" s="169"/>
      <c r="B820" s="38" t="s">
        <v>4842</v>
      </c>
      <c r="C820" s="191" t="s">
        <v>4877</v>
      </c>
      <c r="D820" s="39" t="s">
        <v>4873</v>
      </c>
      <c r="E820" s="39"/>
      <c r="F820" s="39"/>
      <c r="G820" s="39" t="s">
        <v>4845</v>
      </c>
      <c r="H820" s="42" t="s">
        <v>4878</v>
      </c>
      <c r="I820" s="188">
        <v>45992.0</v>
      </c>
      <c r="J820" s="188">
        <v>46023.0</v>
      </c>
      <c r="K820" s="189">
        <v>660.0</v>
      </c>
      <c r="L820" s="206"/>
      <c r="M820" s="191" t="s">
        <v>4545</v>
      </c>
      <c r="N820" s="39"/>
      <c r="O820" s="169"/>
      <c r="P820" s="169"/>
      <c r="Q820" s="169"/>
      <c r="R820" s="169"/>
      <c r="S820" s="169"/>
      <c r="T820" s="169"/>
      <c r="U820" s="169"/>
      <c r="V820" s="169"/>
      <c r="W820" s="169"/>
      <c r="X820" s="169"/>
      <c r="Y820" s="169"/>
      <c r="Z820" s="169"/>
      <c r="AA820" s="169"/>
      <c r="AB820" s="169"/>
      <c r="AC820" s="169"/>
      <c r="AD820" s="169"/>
      <c r="AE820" s="169"/>
      <c r="AF820" s="169"/>
      <c r="AG820" s="169"/>
      <c r="AH820" s="169"/>
    </row>
    <row r="821" ht="45.75" customHeight="1">
      <c r="A821" s="169"/>
      <c r="B821" s="38" t="s">
        <v>4842</v>
      </c>
      <c r="C821" s="191" t="s">
        <v>4879</v>
      </c>
      <c r="D821" s="39" t="s">
        <v>4880</v>
      </c>
      <c r="E821" s="39"/>
      <c r="F821" s="39"/>
      <c r="G821" s="39" t="s">
        <v>4845</v>
      </c>
      <c r="H821" s="42" t="s">
        <v>4881</v>
      </c>
      <c r="I821" s="188">
        <v>45992.0</v>
      </c>
      <c r="J821" s="188">
        <v>46023.0</v>
      </c>
      <c r="K821" s="189">
        <v>6.0</v>
      </c>
      <c r="L821" s="206"/>
      <c r="M821" s="191" t="s">
        <v>4545</v>
      </c>
      <c r="N821" s="39"/>
      <c r="O821" s="169"/>
      <c r="P821" s="169"/>
      <c r="Q821" s="169"/>
      <c r="R821" s="169"/>
      <c r="S821" s="169"/>
      <c r="T821" s="169"/>
      <c r="U821" s="169"/>
      <c r="V821" s="169"/>
      <c r="W821" s="169"/>
      <c r="X821" s="169"/>
      <c r="Y821" s="169"/>
      <c r="Z821" s="169"/>
      <c r="AA821" s="169"/>
      <c r="AB821" s="169"/>
      <c r="AC821" s="169"/>
      <c r="AD821" s="169"/>
      <c r="AE821" s="169"/>
      <c r="AF821" s="169"/>
      <c r="AG821" s="169"/>
      <c r="AH821" s="169"/>
    </row>
    <row r="822" ht="45.75" customHeight="1">
      <c r="A822" s="169"/>
      <c r="B822" s="38" t="s">
        <v>4842</v>
      </c>
      <c r="C822" s="191" t="s">
        <v>4882</v>
      </c>
      <c r="D822" s="39" t="s">
        <v>4883</v>
      </c>
      <c r="E822" s="39"/>
      <c r="F822" s="39"/>
      <c r="G822" s="39" t="s">
        <v>4845</v>
      </c>
      <c r="H822" s="42" t="s">
        <v>4884</v>
      </c>
      <c r="I822" s="188">
        <v>45992.0</v>
      </c>
      <c r="J822" s="188">
        <v>46023.0</v>
      </c>
      <c r="K822" s="189">
        <v>6.0</v>
      </c>
      <c r="L822" s="206"/>
      <c r="M822" s="191" t="s">
        <v>4545</v>
      </c>
      <c r="N822" s="39"/>
      <c r="O822" s="169"/>
      <c r="P822" s="169"/>
      <c r="Q822" s="169"/>
      <c r="R822" s="169"/>
      <c r="S822" s="169"/>
      <c r="T822" s="169"/>
      <c r="U822" s="169"/>
      <c r="V822" s="169"/>
      <c r="W822" s="169"/>
      <c r="X822" s="169"/>
      <c r="Y822" s="169"/>
      <c r="Z822" s="169"/>
      <c r="AA822" s="169"/>
      <c r="AB822" s="169"/>
      <c r="AC822" s="169"/>
      <c r="AD822" s="169"/>
      <c r="AE822" s="169"/>
      <c r="AF822" s="169"/>
      <c r="AG822" s="169"/>
      <c r="AH822" s="169"/>
    </row>
    <row r="823" ht="45.75" customHeight="1">
      <c r="A823" s="169"/>
      <c r="B823" s="38" t="s">
        <v>4842</v>
      </c>
      <c r="C823" s="191" t="s">
        <v>4885</v>
      </c>
      <c r="D823" s="39" t="s">
        <v>4886</v>
      </c>
      <c r="E823" s="39"/>
      <c r="F823" s="39"/>
      <c r="G823" s="39" t="s">
        <v>4845</v>
      </c>
      <c r="H823" s="42" t="s">
        <v>4887</v>
      </c>
      <c r="I823" s="188">
        <v>45992.0</v>
      </c>
      <c r="J823" s="188">
        <v>46023.0</v>
      </c>
      <c r="K823" s="189">
        <v>1334.0</v>
      </c>
      <c r="L823" s="206"/>
      <c r="M823" s="191" t="s">
        <v>4545</v>
      </c>
      <c r="N823" s="39"/>
      <c r="O823" s="169"/>
      <c r="P823" s="169"/>
      <c r="Q823" s="169"/>
      <c r="R823" s="169"/>
      <c r="S823" s="169"/>
      <c r="T823" s="169"/>
      <c r="U823" s="169"/>
      <c r="V823" s="169"/>
      <c r="W823" s="169"/>
      <c r="X823" s="169"/>
      <c r="Y823" s="169"/>
      <c r="Z823" s="169"/>
      <c r="AA823" s="169"/>
      <c r="AB823" s="169"/>
      <c r="AC823" s="169"/>
      <c r="AD823" s="169"/>
      <c r="AE823" s="169"/>
      <c r="AF823" s="169"/>
      <c r="AG823" s="169"/>
      <c r="AH823" s="169"/>
    </row>
    <row r="824" ht="45.75" customHeight="1">
      <c r="A824" s="169"/>
      <c r="B824" s="38" t="s">
        <v>4842</v>
      </c>
      <c r="C824" s="191" t="s">
        <v>4888</v>
      </c>
      <c r="D824" s="39" t="s">
        <v>4889</v>
      </c>
      <c r="E824" s="39"/>
      <c r="F824" s="39"/>
      <c r="G824" s="39" t="s">
        <v>4845</v>
      </c>
      <c r="H824" s="42" t="s">
        <v>4890</v>
      </c>
      <c r="I824" s="188">
        <v>45992.0</v>
      </c>
      <c r="J824" s="188">
        <v>46023.0</v>
      </c>
      <c r="K824" s="189">
        <v>2667.0</v>
      </c>
      <c r="L824" s="206"/>
      <c r="M824" s="191" t="s">
        <v>4545</v>
      </c>
      <c r="N824" s="39"/>
      <c r="O824" s="169"/>
      <c r="P824" s="169"/>
      <c r="Q824" s="169"/>
      <c r="R824" s="169"/>
      <c r="S824" s="169"/>
      <c r="T824" s="169"/>
      <c r="U824" s="169"/>
      <c r="V824" s="169"/>
      <c r="W824" s="169"/>
      <c r="X824" s="169"/>
      <c r="Y824" s="169"/>
      <c r="Z824" s="169"/>
      <c r="AA824" s="169"/>
      <c r="AB824" s="169"/>
      <c r="AC824" s="169"/>
      <c r="AD824" s="169"/>
      <c r="AE824" s="169"/>
      <c r="AF824" s="169"/>
      <c r="AG824" s="169"/>
      <c r="AH824" s="169"/>
    </row>
    <row r="825" ht="45.75" customHeight="1">
      <c r="A825" s="169"/>
      <c r="B825" s="38" t="s">
        <v>4842</v>
      </c>
      <c r="C825" s="191" t="s">
        <v>4891</v>
      </c>
      <c r="D825" s="39" t="s">
        <v>4892</v>
      </c>
      <c r="E825" s="39"/>
      <c r="F825" s="39"/>
      <c r="G825" s="39" t="s">
        <v>4845</v>
      </c>
      <c r="H825" s="42" t="s">
        <v>4893</v>
      </c>
      <c r="I825" s="188">
        <v>45992.0</v>
      </c>
      <c r="J825" s="188">
        <v>46023.0</v>
      </c>
      <c r="K825" s="189">
        <v>5334.0</v>
      </c>
      <c r="L825" s="206"/>
      <c r="M825" s="191" t="s">
        <v>4545</v>
      </c>
      <c r="N825" s="39"/>
      <c r="O825" s="169"/>
      <c r="P825" s="169"/>
      <c r="Q825" s="169"/>
      <c r="R825" s="169"/>
      <c r="S825" s="169"/>
      <c r="T825" s="169"/>
      <c r="U825" s="169"/>
      <c r="V825" s="169"/>
      <c r="W825" s="169"/>
      <c r="X825" s="169"/>
      <c r="Y825" s="169"/>
      <c r="Z825" s="169"/>
      <c r="AA825" s="169"/>
      <c r="AB825" s="169"/>
      <c r="AC825" s="169"/>
      <c r="AD825" s="169"/>
      <c r="AE825" s="169"/>
      <c r="AF825" s="169"/>
      <c r="AG825" s="169"/>
      <c r="AH825" s="169"/>
    </row>
    <row r="826" ht="45.75" customHeight="1">
      <c r="A826" s="169"/>
      <c r="B826" s="38" t="s">
        <v>2481</v>
      </c>
      <c r="C826" s="191" t="s">
        <v>4448</v>
      </c>
      <c r="D826" s="39" t="s">
        <v>2483</v>
      </c>
      <c r="E826" s="39"/>
      <c r="F826" s="39"/>
      <c r="G826" s="39" t="s">
        <v>4894</v>
      </c>
      <c r="H826" s="42" t="s">
        <v>2485</v>
      </c>
      <c r="I826" s="188">
        <v>46023.0</v>
      </c>
      <c r="J826" s="188">
        <v>46023.0</v>
      </c>
      <c r="K826" s="189">
        <v>1392.0</v>
      </c>
      <c r="L826" s="206"/>
      <c r="M826" s="191" t="s">
        <v>2482</v>
      </c>
      <c r="N826" s="39" t="s">
        <v>2485</v>
      </c>
      <c r="O826" s="169"/>
      <c r="P826" s="169"/>
      <c r="Q826" s="169"/>
      <c r="R826" s="169"/>
      <c r="S826" s="169"/>
      <c r="T826" s="169"/>
      <c r="U826" s="169"/>
      <c r="V826" s="169"/>
      <c r="W826" s="169"/>
      <c r="X826" s="169"/>
      <c r="Y826" s="169"/>
      <c r="Z826" s="169"/>
      <c r="AA826" s="169"/>
      <c r="AB826" s="169"/>
      <c r="AC826" s="169"/>
      <c r="AD826" s="169"/>
      <c r="AE826" s="169"/>
      <c r="AF826" s="169"/>
      <c r="AG826" s="169"/>
      <c r="AH826" s="169"/>
    </row>
    <row r="827" ht="15.75" customHeight="1">
      <c r="A827" s="169"/>
      <c r="B827" s="38" t="s">
        <v>2020</v>
      </c>
      <c r="C827" s="191" t="s">
        <v>4895</v>
      </c>
      <c r="D827" s="39" t="s">
        <v>4896</v>
      </c>
      <c r="E827" s="39"/>
      <c r="F827" s="39"/>
      <c r="G827" s="39" t="s">
        <v>2023</v>
      </c>
      <c r="H827" s="42" t="s">
        <v>4897</v>
      </c>
      <c r="I827" s="188">
        <v>46023.0</v>
      </c>
      <c r="J827" s="205">
        <f>I827+90</f>
        <v>46113</v>
      </c>
      <c r="K827" s="189">
        <v>970.0</v>
      </c>
      <c r="L827" s="206"/>
      <c r="M827" s="191" t="s">
        <v>2034</v>
      </c>
      <c r="N827" s="48" t="s">
        <v>4898</v>
      </c>
      <c r="O827" s="169"/>
      <c r="P827" s="169"/>
      <c r="Q827" s="169"/>
      <c r="R827" s="169"/>
      <c r="S827" s="169"/>
      <c r="T827" s="169"/>
      <c r="U827" s="169"/>
      <c r="V827" s="169"/>
      <c r="W827" s="169"/>
      <c r="X827" s="169"/>
      <c r="Y827" s="169"/>
      <c r="Z827" s="169"/>
      <c r="AA827" s="169"/>
      <c r="AB827" s="169"/>
      <c r="AC827" s="169"/>
      <c r="AD827" s="169"/>
      <c r="AE827" s="169"/>
      <c r="AF827" s="169"/>
      <c r="AG827" s="169"/>
      <c r="AH827" s="169"/>
    </row>
    <row r="828" ht="30.0" customHeight="1">
      <c r="A828" s="169"/>
      <c r="B828" s="136" t="s">
        <v>3532</v>
      </c>
      <c r="C828" s="208" t="s">
        <v>4899</v>
      </c>
      <c r="D828" s="138" t="s">
        <v>4900</v>
      </c>
      <c r="E828" s="136"/>
      <c r="F828" s="136"/>
      <c r="G828" s="136"/>
      <c r="H828" s="156" t="s">
        <v>3550</v>
      </c>
      <c r="I828" s="209">
        <v>46023.0</v>
      </c>
      <c r="J828" s="209">
        <v>46023.0</v>
      </c>
      <c r="K828" s="210">
        <v>31.0</v>
      </c>
      <c r="L828" s="206"/>
      <c r="M828" s="191" t="s">
        <v>4545</v>
      </c>
      <c r="N828" s="48"/>
      <c r="O828" s="169"/>
      <c r="P828" s="169"/>
      <c r="Q828" s="169"/>
      <c r="R828" s="169"/>
      <c r="S828" s="169"/>
      <c r="T828" s="169"/>
      <c r="U828" s="169"/>
      <c r="V828" s="169"/>
      <c r="W828" s="169"/>
      <c r="X828" s="169"/>
      <c r="Y828" s="169"/>
      <c r="Z828" s="169"/>
      <c r="AA828" s="169"/>
      <c r="AB828" s="169"/>
      <c r="AC828" s="169"/>
      <c r="AD828" s="169"/>
      <c r="AE828" s="169"/>
      <c r="AF828" s="169"/>
      <c r="AG828" s="169"/>
      <c r="AH828" s="169"/>
    </row>
    <row r="829" ht="30.0" customHeight="1">
      <c r="A829" s="169"/>
      <c r="B829" s="136" t="s">
        <v>3532</v>
      </c>
      <c r="C829" s="208" t="s">
        <v>4901</v>
      </c>
      <c r="D829" s="138" t="s">
        <v>4902</v>
      </c>
      <c r="E829" s="136"/>
      <c r="F829" s="136"/>
      <c r="G829" s="136"/>
      <c r="H829" s="156" t="s">
        <v>3535</v>
      </c>
      <c r="I829" s="209">
        <v>46023.0</v>
      </c>
      <c r="J829" s="209">
        <v>46023.0</v>
      </c>
      <c r="K829" s="210">
        <v>44.0</v>
      </c>
      <c r="L829" s="206"/>
      <c r="M829" s="191" t="s">
        <v>4545</v>
      </c>
      <c r="N829" s="48"/>
      <c r="O829" s="169"/>
      <c r="P829" s="169"/>
      <c r="Q829" s="169"/>
      <c r="R829" s="169"/>
      <c r="S829" s="169"/>
      <c r="T829" s="169"/>
      <c r="U829" s="169"/>
      <c r="V829" s="169"/>
      <c r="W829" s="169"/>
      <c r="X829" s="169"/>
      <c r="Y829" s="169"/>
      <c r="Z829" s="169"/>
      <c r="AA829" s="169"/>
      <c r="AB829" s="169"/>
      <c r="AC829" s="169"/>
      <c r="AD829" s="169"/>
      <c r="AE829" s="169"/>
      <c r="AF829" s="169"/>
      <c r="AG829" s="169"/>
      <c r="AH829" s="169"/>
    </row>
    <row r="830" ht="30.0" customHeight="1">
      <c r="A830" s="169"/>
      <c r="B830" s="136" t="s">
        <v>3532</v>
      </c>
      <c r="C830" s="208" t="s">
        <v>4535</v>
      </c>
      <c r="D830" s="138" t="s">
        <v>4534</v>
      </c>
      <c r="E830" s="136"/>
      <c r="F830" s="136"/>
      <c r="G830" s="136"/>
      <c r="H830" s="156" t="s">
        <v>3539</v>
      </c>
      <c r="I830" s="209">
        <v>46023.0</v>
      </c>
      <c r="J830" s="209">
        <v>46023.0</v>
      </c>
      <c r="K830" s="210">
        <v>77.0</v>
      </c>
      <c r="L830" s="206"/>
      <c r="M830" s="191" t="s">
        <v>4545</v>
      </c>
      <c r="N830" s="48"/>
      <c r="O830" s="169"/>
      <c r="P830" s="169"/>
      <c r="Q830" s="169"/>
      <c r="R830" s="169"/>
      <c r="S830" s="169"/>
      <c r="T830" s="169"/>
      <c r="U830" s="169"/>
      <c r="V830" s="169"/>
      <c r="W830" s="169"/>
      <c r="X830" s="169"/>
      <c r="Y830" s="169"/>
      <c r="Z830" s="169"/>
      <c r="AA830" s="169"/>
      <c r="AB830" s="169"/>
      <c r="AC830" s="169"/>
      <c r="AD830" s="169"/>
      <c r="AE830" s="169"/>
      <c r="AF830" s="169"/>
      <c r="AG830" s="169"/>
      <c r="AH830" s="169"/>
    </row>
    <row r="831" ht="30.0" customHeight="1">
      <c r="A831" s="169"/>
      <c r="B831" s="136" t="s">
        <v>3532</v>
      </c>
      <c r="C831" s="208" t="s">
        <v>4538</v>
      </c>
      <c r="D831" s="138" t="s">
        <v>4537</v>
      </c>
      <c r="E831" s="136"/>
      <c r="F831" s="136"/>
      <c r="G831" s="136"/>
      <c r="H831" s="156" t="s">
        <v>3546</v>
      </c>
      <c r="I831" s="209">
        <v>46023.0</v>
      </c>
      <c r="J831" s="209">
        <v>46023.0</v>
      </c>
      <c r="K831" s="210">
        <v>138.0</v>
      </c>
      <c r="L831" s="206"/>
      <c r="M831" s="191" t="s">
        <v>4545</v>
      </c>
      <c r="N831" s="48"/>
      <c r="O831" s="169"/>
      <c r="P831" s="169"/>
      <c r="Q831" s="169"/>
      <c r="R831" s="169"/>
      <c r="S831" s="169"/>
      <c r="T831" s="169"/>
      <c r="U831" s="169"/>
      <c r="V831" s="169"/>
      <c r="W831" s="169"/>
      <c r="X831" s="169"/>
      <c r="Y831" s="169"/>
      <c r="Z831" s="169"/>
      <c r="AA831" s="169"/>
      <c r="AB831" s="169"/>
      <c r="AC831" s="169"/>
      <c r="AD831" s="169"/>
      <c r="AE831" s="169"/>
      <c r="AF831" s="169"/>
      <c r="AG831" s="169"/>
      <c r="AH831" s="169"/>
    </row>
    <row r="832" ht="30.0" customHeight="1">
      <c r="A832" s="169"/>
      <c r="B832" s="136" t="s">
        <v>3532</v>
      </c>
      <c r="C832" s="208" t="s">
        <v>3557</v>
      </c>
      <c r="D832" s="138" t="s">
        <v>3555</v>
      </c>
      <c r="E832" s="136"/>
      <c r="F832" s="136"/>
      <c r="G832" s="136"/>
      <c r="H832" s="156" t="s">
        <v>3556</v>
      </c>
      <c r="I832" s="209">
        <v>46023.0</v>
      </c>
      <c r="J832" s="209">
        <v>46023.0</v>
      </c>
      <c r="K832" s="210">
        <v>23.0</v>
      </c>
      <c r="L832" s="206"/>
      <c r="M832" s="191" t="s">
        <v>4545</v>
      </c>
      <c r="N832" s="48"/>
      <c r="O832" s="169"/>
      <c r="P832" s="169"/>
      <c r="Q832" s="169"/>
      <c r="R832" s="169"/>
      <c r="S832" s="169"/>
      <c r="T832" s="169"/>
      <c r="U832" s="169"/>
      <c r="V832" s="169"/>
      <c r="W832" s="169"/>
      <c r="X832" s="169"/>
      <c r="Y832" s="169"/>
      <c r="Z832" s="169"/>
      <c r="AA832" s="169"/>
      <c r="AB832" s="169"/>
      <c r="AC832" s="169"/>
      <c r="AD832" s="169"/>
      <c r="AE832" s="169"/>
      <c r="AF832" s="169"/>
      <c r="AG832" s="169"/>
      <c r="AH832" s="169"/>
    </row>
    <row r="833" ht="30.0" customHeight="1">
      <c r="A833" s="169"/>
      <c r="B833" s="136" t="s">
        <v>3532</v>
      </c>
      <c r="C833" s="208" t="s">
        <v>3552</v>
      </c>
      <c r="D833" s="138" t="s">
        <v>3559</v>
      </c>
      <c r="E833" s="136"/>
      <c r="F833" s="136"/>
      <c r="G833" s="136"/>
      <c r="H833" s="156" t="s">
        <v>3553</v>
      </c>
      <c r="I833" s="209">
        <v>46023.0</v>
      </c>
      <c r="J833" s="209">
        <v>46023.0</v>
      </c>
      <c r="K833" s="210">
        <v>31.0</v>
      </c>
      <c r="L833" s="206"/>
      <c r="M833" s="191" t="s">
        <v>4545</v>
      </c>
      <c r="N833" s="48"/>
      <c r="O833" s="169"/>
      <c r="P833" s="169"/>
      <c r="Q833" s="169"/>
      <c r="R833" s="169"/>
      <c r="S833" s="169"/>
      <c r="T833" s="169"/>
      <c r="U833" s="169"/>
      <c r="V833" s="169"/>
      <c r="W833" s="169"/>
      <c r="X833" s="169"/>
      <c r="Y833" s="169"/>
      <c r="Z833" s="169"/>
      <c r="AA833" s="169"/>
      <c r="AB833" s="169"/>
      <c r="AC833" s="169"/>
      <c r="AD833" s="169"/>
      <c r="AE833" s="169"/>
      <c r="AF833" s="169"/>
      <c r="AG833" s="169"/>
      <c r="AH833" s="169"/>
    </row>
    <row r="834" ht="30.0" customHeight="1">
      <c r="A834" s="169"/>
      <c r="B834" s="136" t="s">
        <v>3532</v>
      </c>
      <c r="C834" s="208" t="s">
        <v>3563</v>
      </c>
      <c r="D834" s="138" t="s">
        <v>3561</v>
      </c>
      <c r="E834" s="136"/>
      <c r="F834" s="136"/>
      <c r="G834" s="136"/>
      <c r="H834" s="156" t="s">
        <v>3562</v>
      </c>
      <c r="I834" s="209">
        <v>46023.0</v>
      </c>
      <c r="J834" s="209">
        <v>46023.0</v>
      </c>
      <c r="K834" s="210">
        <v>57.0</v>
      </c>
      <c r="L834" s="206"/>
      <c r="M834" s="191" t="s">
        <v>4545</v>
      </c>
      <c r="N834" s="48"/>
      <c r="O834" s="169"/>
      <c r="P834" s="169"/>
      <c r="Q834" s="169"/>
      <c r="R834" s="169"/>
      <c r="S834" s="169"/>
      <c r="T834" s="169"/>
      <c r="U834" s="169"/>
      <c r="V834" s="169"/>
      <c r="W834" s="169"/>
      <c r="X834" s="169"/>
      <c r="Y834" s="169"/>
      <c r="Z834" s="169"/>
      <c r="AA834" s="169"/>
      <c r="AB834" s="169"/>
      <c r="AC834" s="169"/>
      <c r="AD834" s="169"/>
      <c r="AE834" s="169"/>
      <c r="AF834" s="169"/>
      <c r="AG834" s="169"/>
      <c r="AH834" s="169"/>
    </row>
    <row r="835" ht="30.0" customHeight="1">
      <c r="A835" s="169"/>
      <c r="B835" s="136" t="s">
        <v>3532</v>
      </c>
      <c r="C835" s="208" t="s">
        <v>4903</v>
      </c>
      <c r="D835" s="138" t="s">
        <v>4904</v>
      </c>
      <c r="E835" s="136"/>
      <c r="F835" s="136"/>
      <c r="G835" s="136"/>
      <c r="H835" s="156" t="s">
        <v>4905</v>
      </c>
      <c r="I835" s="209">
        <v>46023.0</v>
      </c>
      <c r="J835" s="209">
        <v>46023.0</v>
      </c>
      <c r="K835" s="210">
        <v>102.0</v>
      </c>
      <c r="L835" s="206"/>
      <c r="M835" s="191" t="s">
        <v>4545</v>
      </c>
      <c r="N835" s="48"/>
      <c r="O835" s="169"/>
      <c r="P835" s="169"/>
      <c r="Q835" s="169"/>
      <c r="R835" s="169"/>
      <c r="S835" s="169"/>
      <c r="T835" s="169"/>
      <c r="U835" s="169"/>
      <c r="V835" s="169"/>
      <c r="W835" s="169"/>
      <c r="X835" s="169"/>
      <c r="Y835" s="169"/>
      <c r="Z835" s="169"/>
      <c r="AA835" s="169"/>
      <c r="AB835" s="169"/>
      <c r="AC835" s="169"/>
      <c r="AD835" s="169"/>
      <c r="AE835" s="169"/>
      <c r="AF835" s="169"/>
      <c r="AG835" s="169"/>
      <c r="AH835" s="169"/>
    </row>
  </sheetData>
  <autoFilter ref="$B$5:$O$829"/>
  <mergeCells count="2">
    <mergeCell ref="B4:K4"/>
    <mergeCell ref="M4:N4"/>
  </mergeCells>
  <printOptions/>
  <pageMargins bottom="0.75" footer="0.0" header="0.0" left="0.7" right="0.7" top="0.75"/>
  <pageSetup scale="2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2020-05-11T18:39:52Z</dcterms:created>
  <dc:creator>Nataliya Afanasyeva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0e5107ab-3e54-4270-9da1-95bedde55f97</vt:lpwstr>
  </property>
</Properties>
</file>